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nlius Township\PA 660 Audit 2023\"/>
    </mc:Choice>
  </mc:AlternateContent>
  <xr:revisionPtr revIDLastSave="0" documentId="8_{5E757FE1-BFCA-4831-AD3F-5C70E69052B1}" xr6:coauthVersionLast="47" xr6:coauthVersionMax="47" xr10:uidLastSave="{00000000-0000-0000-0000-000000000000}"/>
  <bookViews>
    <workbookView xWindow="28680" yWindow="-120" windowWidth="51840" windowHeight="21120" xr2:uid="{1A2820C2-D164-4700-8909-4E59ABEB4DC5}"/>
  </bookViews>
  <sheets>
    <sheet name="Descriptions &amp; Codes" sheetId="1" r:id="rId1"/>
    <sheet name="AG Sales" sheetId="4" r:id="rId2"/>
    <sheet name="Ag Detail" sheetId="5" r:id="rId3"/>
    <sheet name="COM" sheetId="12" r:id="rId4"/>
    <sheet name="2022-2023 Res Values" sheetId="2" r:id="rId5"/>
    <sheet name="Residential North" sheetId="6" r:id="rId6"/>
    <sheet name="Residential South" sheetId="7" r:id="rId7"/>
    <sheet name="Green Pres Wed" sheetId="9" r:id="rId8"/>
    <sheet name="Greenfield Condo" sheetId="8" r:id="rId9"/>
    <sheet name="Heritage Hunter Oak" sheetId="10" r:id="rId10"/>
    <sheet name="Walnut Orchard MarJo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12" l="1"/>
  <c r="K20" i="12"/>
  <c r="Q20" i="12" s="1"/>
  <c r="I20" i="12"/>
  <c r="K19" i="12"/>
  <c r="Q19" i="12" s="1"/>
  <c r="I19" i="12"/>
  <c r="K18" i="12"/>
  <c r="Q18" i="12" s="1"/>
  <c r="I18" i="12"/>
  <c r="K17" i="12"/>
  <c r="K21" i="12" s="1"/>
  <c r="P22" i="12" s="1"/>
  <c r="I17" i="12"/>
  <c r="I14" i="12"/>
  <c r="P12" i="12"/>
  <c r="O12" i="12"/>
  <c r="M12" i="12"/>
  <c r="L12" i="12"/>
  <c r="J12" i="12"/>
  <c r="H12" i="12"/>
  <c r="I13" i="12" s="1"/>
  <c r="G12" i="12"/>
  <c r="D12" i="12"/>
  <c r="K11" i="12"/>
  <c r="Q11" i="12" s="1"/>
  <c r="I11" i="12"/>
  <c r="Q10" i="12"/>
  <c r="K10" i="12"/>
  <c r="I10" i="12"/>
  <c r="K9" i="12"/>
  <c r="Q9" i="12" s="1"/>
  <c r="I9" i="12"/>
  <c r="K8" i="12"/>
  <c r="Q8" i="12" s="1"/>
  <c r="I8" i="12"/>
  <c r="K7" i="12"/>
  <c r="Q7" i="12" s="1"/>
  <c r="I7" i="12"/>
  <c r="K6" i="12"/>
  <c r="Q6" i="12" s="1"/>
  <c r="I6" i="12"/>
  <c r="K3" i="12"/>
  <c r="Q3" i="12" s="1"/>
  <c r="I3" i="12"/>
  <c r="Q2" i="12"/>
  <c r="K2" i="12"/>
  <c r="K12" i="12" s="1"/>
  <c r="I2" i="12"/>
  <c r="P14" i="12" l="1"/>
  <c r="M14" i="12"/>
  <c r="Q14" i="12"/>
  <c r="Q17" i="12"/>
  <c r="H20" i="5" l="1"/>
  <c r="H19" i="5"/>
  <c r="E19" i="5"/>
  <c r="I2" i="6"/>
  <c r="K2" i="6"/>
  <c r="O2" i="6"/>
  <c r="P2" i="6"/>
  <c r="I3" i="6"/>
  <c r="K3" i="6"/>
  <c r="O3" i="6"/>
  <c r="P3" i="6"/>
  <c r="I4" i="6"/>
  <c r="K4" i="6"/>
  <c r="O4" i="6"/>
  <c r="P4" i="6"/>
  <c r="I5" i="6"/>
  <c r="K5" i="6"/>
  <c r="O5" i="6"/>
  <c r="P5" i="6"/>
  <c r="I6" i="6"/>
  <c r="K6" i="6"/>
  <c r="O6" i="6"/>
  <c r="P6" i="6"/>
  <c r="I9" i="6"/>
  <c r="K9" i="6"/>
  <c r="O9" i="6"/>
  <c r="P9" i="6"/>
  <c r="I12" i="6"/>
  <c r="K12" i="6"/>
  <c r="O12" i="6"/>
  <c r="P12" i="6"/>
  <c r="I13" i="6"/>
  <c r="K13" i="6"/>
  <c r="K20" i="6" s="1"/>
  <c r="N21" i="6" s="1"/>
  <c r="O21" i="6" s="1"/>
  <c r="O13" i="6"/>
  <c r="P13" i="6"/>
  <c r="I14" i="6"/>
  <c r="K14" i="6"/>
  <c r="O14" i="6"/>
  <c r="P14" i="6"/>
  <c r="I15" i="6"/>
  <c r="K15" i="6"/>
  <c r="O15" i="6"/>
  <c r="P15" i="6"/>
  <c r="I16" i="6"/>
  <c r="K16" i="6"/>
  <c r="O16" i="6"/>
  <c r="P16" i="6"/>
  <c r="I17" i="6"/>
  <c r="K17" i="6"/>
  <c r="O17" i="6"/>
  <c r="P17" i="6"/>
  <c r="I18" i="6"/>
  <c r="K18" i="6"/>
  <c r="O18" i="6"/>
  <c r="P18" i="6"/>
  <c r="I19" i="6"/>
  <c r="K19" i="6"/>
  <c r="O19" i="6"/>
  <c r="P19" i="6"/>
  <c r="M20" i="6"/>
  <c r="I24" i="6"/>
  <c r="K24" i="6"/>
  <c r="K26" i="6" s="1"/>
  <c r="N27" i="6" s="1"/>
  <c r="O24" i="6"/>
  <c r="P24" i="6"/>
  <c r="I25" i="6"/>
  <c r="K25" i="6"/>
  <c r="O25" i="6"/>
  <c r="P25" i="6"/>
  <c r="M26" i="6"/>
  <c r="I30" i="6"/>
  <c r="K30" i="6"/>
  <c r="O30" i="6"/>
  <c r="P30" i="6"/>
  <c r="I31" i="6"/>
  <c r="K31" i="6"/>
  <c r="K34" i="6" s="1"/>
  <c r="N35" i="6" s="1"/>
  <c r="O35" i="6" s="1"/>
  <c r="O31" i="6"/>
  <c r="P31" i="6"/>
  <c r="I32" i="6"/>
  <c r="K32" i="6"/>
  <c r="O32" i="6"/>
  <c r="P32" i="6"/>
  <c r="I33" i="6"/>
  <c r="K33" i="6"/>
  <c r="O33" i="6"/>
  <c r="P33" i="6"/>
  <c r="M34" i="6"/>
  <c r="I38" i="6"/>
  <c r="O38" i="6"/>
  <c r="P38" i="6"/>
  <c r="I39" i="6"/>
  <c r="K39" i="6"/>
  <c r="O39" i="6" s="1"/>
  <c r="P39" i="6"/>
  <c r="K40" i="6"/>
  <c r="M40" i="6"/>
  <c r="N41" i="6"/>
  <c r="O41" i="6"/>
  <c r="I44" i="6"/>
  <c r="K44" i="6"/>
  <c r="O44" i="6"/>
  <c r="P44" i="6"/>
  <c r="I45" i="6"/>
  <c r="K45" i="6"/>
  <c r="O45" i="6"/>
  <c r="P45" i="6"/>
  <c r="I46" i="6"/>
  <c r="K46" i="6"/>
  <c r="O46" i="6"/>
  <c r="P46" i="6"/>
  <c r="I47" i="6"/>
  <c r="K47" i="6"/>
  <c r="O47" i="6"/>
  <c r="P47" i="6"/>
  <c r="I48" i="6"/>
  <c r="K48" i="6"/>
  <c r="O48" i="6"/>
  <c r="P48" i="6"/>
  <c r="I49" i="6"/>
  <c r="K49" i="6"/>
  <c r="O49" i="6"/>
  <c r="P49" i="6"/>
  <c r="K50" i="6"/>
  <c r="N51" i="6" s="1"/>
  <c r="O51" i="6" s="1"/>
  <c r="M50" i="6"/>
  <c r="I54" i="6"/>
  <c r="K54" i="6"/>
  <c r="K58" i="6" s="1"/>
  <c r="N59" i="6" s="1"/>
  <c r="O59" i="6" s="1"/>
  <c r="O54" i="6"/>
  <c r="P54" i="6"/>
  <c r="I55" i="6"/>
  <c r="K55" i="6"/>
  <c r="O55" i="6" s="1"/>
  <c r="I56" i="6"/>
  <c r="K56" i="6"/>
  <c r="O56" i="6"/>
  <c r="P56" i="6"/>
  <c r="I57" i="6"/>
  <c r="K57" i="6"/>
  <c r="O57" i="6" s="1"/>
  <c r="M58" i="6"/>
  <c r="I62" i="6"/>
  <c r="K62" i="6"/>
  <c r="O62" i="6" s="1"/>
  <c r="I63" i="6"/>
  <c r="K63" i="6"/>
  <c r="O63" i="6"/>
  <c r="P63" i="6"/>
  <c r="M64" i="6"/>
  <c r="I69" i="6"/>
  <c r="K69" i="6"/>
  <c r="O69" i="6"/>
  <c r="P69" i="6"/>
  <c r="I70" i="6"/>
  <c r="K70" i="6"/>
  <c r="O70" i="6" s="1"/>
  <c r="I71" i="6"/>
  <c r="K71" i="6"/>
  <c r="O71" i="6"/>
  <c r="P71" i="6"/>
  <c r="I72" i="6"/>
  <c r="K72" i="6"/>
  <c r="O72" i="6" s="1"/>
  <c r="I73" i="6"/>
  <c r="K73" i="6"/>
  <c r="O73" i="6"/>
  <c r="P73" i="6"/>
  <c r="I74" i="6"/>
  <c r="K74" i="6"/>
  <c r="O74" i="6" s="1"/>
  <c r="I75" i="6"/>
  <c r="K75" i="6"/>
  <c r="O75" i="6"/>
  <c r="P75" i="6"/>
  <c r="I76" i="6"/>
  <c r="K76" i="6"/>
  <c r="O76" i="6" s="1"/>
  <c r="I77" i="6"/>
  <c r="K77" i="6"/>
  <c r="O77" i="6"/>
  <c r="P77" i="6"/>
  <c r="I78" i="6"/>
  <c r="K78" i="6"/>
  <c r="O78" i="6" s="1"/>
  <c r="I79" i="6"/>
  <c r="K79" i="6"/>
  <c r="O79" i="6"/>
  <c r="P79" i="6"/>
  <c r="M80" i="6"/>
  <c r="I84" i="6"/>
  <c r="K84" i="6"/>
  <c r="K86" i="6" s="1"/>
  <c r="N87" i="6" s="1"/>
  <c r="O87" i="6" s="1"/>
  <c r="O84" i="6"/>
  <c r="P84" i="6"/>
  <c r="I85" i="6"/>
  <c r="K85" i="6"/>
  <c r="O85" i="6" s="1"/>
  <c r="M86" i="6"/>
  <c r="I91" i="6"/>
  <c r="K91" i="6"/>
  <c r="O91" i="6" s="1"/>
  <c r="M92" i="6"/>
  <c r="O27" i="6" l="1"/>
  <c r="P91" i="6"/>
  <c r="P85" i="6"/>
  <c r="P76" i="6"/>
  <c r="P70" i="6"/>
  <c r="P57" i="6"/>
  <c r="K80" i="6"/>
  <c r="N81" i="6" s="1"/>
  <c r="O81" i="6" s="1"/>
  <c r="K64" i="6"/>
  <c r="N65" i="6" s="1"/>
  <c r="O65" i="6" s="1"/>
  <c r="K92" i="6"/>
  <c r="N93" i="6" s="1"/>
  <c r="O93" i="6" s="1"/>
  <c r="P78" i="6"/>
  <c r="P74" i="6"/>
  <c r="P72" i="6"/>
  <c r="P62" i="6"/>
  <c r="P55" i="6"/>
  <c r="H10" i="5"/>
  <c r="H11" i="5"/>
  <c r="G12" i="5"/>
  <c r="H12" i="5" s="1"/>
  <c r="H13" i="5"/>
  <c r="H18" i="5"/>
  <c r="H24" i="5"/>
  <c r="E25" i="5"/>
  <c r="G25" i="5"/>
  <c r="H25" i="5" s="1"/>
  <c r="H26" i="5"/>
  <c r="H28" i="5" l="1"/>
  <c r="H14" i="5"/>
</calcChain>
</file>

<file path=xl/sharedStrings.xml><?xml version="1.0" encoding="utf-8"?>
<sst xmlns="http://schemas.openxmlformats.org/spreadsheetml/2006/main" count="1570" uniqueCount="601">
  <si>
    <t>Land Tables</t>
  </si>
  <si>
    <t>401N</t>
  </si>
  <si>
    <t>401S</t>
  </si>
  <si>
    <t>OAKR</t>
  </si>
  <si>
    <t>Code</t>
  </si>
  <si>
    <t>Description</t>
  </si>
  <si>
    <t>Farm North</t>
  </si>
  <si>
    <t>Farm South</t>
  </si>
  <si>
    <t>Commercial</t>
  </si>
  <si>
    <t>Greenfield Condo</t>
  </si>
  <si>
    <t>Greenfield</t>
  </si>
  <si>
    <t>Heritage Pines</t>
  </si>
  <si>
    <t>Hunters Ridge</t>
  </si>
  <si>
    <t>Residential North</t>
  </si>
  <si>
    <t>Residential South</t>
  </si>
  <si>
    <t>MarJo Estates</t>
  </si>
  <si>
    <t>Wedevan-Old Hickory</t>
  </si>
  <si>
    <t>Orchard Valley</t>
  </si>
  <si>
    <t>Preservation Estates</t>
  </si>
  <si>
    <t>Walnut Park</t>
  </si>
  <si>
    <t>OakRidge Circle</t>
  </si>
  <si>
    <t>Notes</t>
  </si>
  <si>
    <t>Year Developed</t>
  </si>
  <si>
    <t>Various</t>
  </si>
  <si>
    <t>One lot with individual footprints</t>
  </si>
  <si>
    <t>Greenfield Phase II</t>
  </si>
  <si>
    <t>Parcels Included</t>
  </si>
  <si>
    <t>Greenfield Phase III</t>
  </si>
  <si>
    <t>Greenfield Site Condo</t>
  </si>
  <si>
    <t>Section</t>
  </si>
  <si>
    <t>Township Wide</t>
  </si>
  <si>
    <t>Developments</t>
  </si>
  <si>
    <t>Metes &amp; Bounds are also included</t>
  </si>
  <si>
    <t>2003* Year of Change</t>
  </si>
  <si>
    <t>Used to be Oakridge Estates (550 Prefix), houses mainly built early 2000's</t>
  </si>
  <si>
    <t>South side of Development is in Manlius (136th) North side is in Fillmore</t>
  </si>
  <si>
    <t>Valued</t>
  </si>
  <si>
    <t>Acreage</t>
  </si>
  <si>
    <t>Sq Ft</t>
  </si>
  <si>
    <t>Site</t>
  </si>
  <si>
    <t>401N Table</t>
  </si>
  <si>
    <t>401 N</t>
  </si>
  <si>
    <t>AG N</t>
  </si>
  <si>
    <t>Tillable</t>
  </si>
  <si>
    <t>Scrub/Woods</t>
  </si>
  <si>
    <t>Wet</t>
  </si>
  <si>
    <t>ROW</t>
  </si>
  <si>
    <t>AG S</t>
  </si>
  <si>
    <t>Under AG</t>
  </si>
  <si>
    <t>$</t>
  </si>
  <si>
    <t>AG</t>
  </si>
  <si>
    <t>Non Tillable</t>
  </si>
  <si>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</si>
  <si>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</si>
  <si>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</si>
  <si>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</si>
  <si>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</si>
  <si>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</si>
  <si>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</si>
  <si>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</si>
  <si>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</si>
  <si>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</si>
  <si>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</si>
  <si>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</si>
  <si>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</si>
  <si>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</si>
  <si>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</si>
  <si>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</si>
  <si>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</si>
  <si>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</si>
  <si>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</si>
  <si>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</si>
  <si>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</si>
  <si>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</si>
  <si>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</si>
  <si>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</si>
  <si>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</si>
  <si>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</si>
  <si>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</si>
  <si>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</si>
  <si>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</si>
  <si>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14-003-015-00</t>
  </si>
  <si>
    <t>3467 54TH ST</t>
  </si>
  <si>
    <t>WD</t>
  </si>
  <si>
    <t>03-ARM'S LENGTH</t>
  </si>
  <si>
    <t>1011</t>
  </si>
  <si>
    <t>4601/397</t>
  </si>
  <si>
    <t>14-006-016-00</t>
  </si>
  <si>
    <t>FARM NORTH</t>
  </si>
  <si>
    <t>NOT INSPECTED</t>
  </si>
  <si>
    <t>001</t>
  </si>
  <si>
    <t>14-006-009-00</t>
  </si>
  <si>
    <t>3541 60TH ST</t>
  </si>
  <si>
    <t>MLC</t>
  </si>
  <si>
    <t>4589/949</t>
  </si>
  <si>
    <t>14-006-010-00</t>
  </si>
  <si>
    <t>401</t>
  </si>
  <si>
    <t>Buyer admits great deal based on helping neighbor for years</t>
  </si>
  <si>
    <t>60 TH ST</t>
  </si>
  <si>
    <t>402</t>
  </si>
  <si>
    <t>14-010-007-00</t>
  </si>
  <si>
    <t>5301 133 RD AVE</t>
  </si>
  <si>
    <t>4698/579</t>
  </si>
  <si>
    <t>101</t>
  </si>
  <si>
    <t>14-030-012-00</t>
  </si>
  <si>
    <t>5880 128TH AVE</t>
  </si>
  <si>
    <t>PTA</t>
  </si>
  <si>
    <t>1012</t>
  </si>
  <si>
    <t>4719/645</t>
  </si>
  <si>
    <t>FARM SOUTH</t>
  </si>
  <si>
    <t>14-031-007-00</t>
  </si>
  <si>
    <t>2532 58TH ST</t>
  </si>
  <si>
    <t>4561/818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</si>
  <si>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</si>
  <si>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</si>
  <si>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</si>
  <si>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</si>
  <si>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</si>
  <si>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</si>
  <si>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</si>
  <si>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These include north and south</t>
  </si>
  <si>
    <t>19-004-011-11</t>
  </si>
  <si>
    <t>3163 146TH AVE</t>
  </si>
  <si>
    <t>32-SPLIT VACANT</t>
  </si>
  <si>
    <t>19RRN</t>
  </si>
  <si>
    <t>4783/906</t>
  </si>
  <si>
    <t>AGRICULTURAL</t>
  </si>
  <si>
    <t>19-010-009-02</t>
  </si>
  <si>
    <t>144TH AVE</t>
  </si>
  <si>
    <t>19AGN</t>
  </si>
  <si>
    <t>4785/435</t>
  </si>
  <si>
    <t>19-022-001-00</t>
  </si>
  <si>
    <t>142ND AVE</t>
  </si>
  <si>
    <t>19AGS</t>
  </si>
  <si>
    <t>4734/724</t>
  </si>
  <si>
    <t xml:space="preserve"> </t>
  </si>
  <si>
    <t xml:space="preserve">Tillable </t>
  </si>
  <si>
    <t>Wet/Swamp</t>
  </si>
  <si>
    <t>Non Till</t>
  </si>
  <si>
    <t>2023 Values</t>
  </si>
  <si>
    <t>003-016-00</t>
  </si>
  <si>
    <t>Swamp</t>
  </si>
  <si>
    <t>Rate</t>
  </si>
  <si>
    <t>&amp; Site</t>
  </si>
  <si>
    <t>sale price</t>
  </si>
  <si>
    <t>w/o ROW</t>
  </si>
  <si>
    <t>Date</t>
  </si>
  <si>
    <t>Number</t>
  </si>
  <si>
    <t>Comments</t>
  </si>
  <si>
    <t>Till</t>
  </si>
  <si>
    <t>Calc.</t>
  </si>
  <si>
    <t>Bldg</t>
  </si>
  <si>
    <t>residual</t>
  </si>
  <si>
    <t>Acres</t>
  </si>
  <si>
    <t>Sale</t>
  </si>
  <si>
    <t>Parcel</t>
  </si>
  <si>
    <t>2023 Agricultural Land Value Analysis</t>
  </si>
  <si>
    <t>Manlius Township</t>
  </si>
  <si>
    <t>AG 2023</t>
  </si>
  <si>
    <t>RESIDENTIAL NORTH</t>
  </si>
  <si>
    <t>3263 60 TH ST</t>
  </si>
  <si>
    <t>14-007-013-00</t>
  </si>
  <si>
    <t>40 acres</t>
  </si>
  <si>
    <t>201</t>
  </si>
  <si>
    <t>46623/10</t>
  </si>
  <si>
    <t>201N</t>
  </si>
  <si>
    <t>14-007-007-00</t>
  </si>
  <si>
    <t>4683/122</t>
  </si>
  <si>
    <t>5863 OLD ALLEGAN ROAD</t>
  </si>
  <si>
    <t>14-007-021-00</t>
  </si>
  <si>
    <t>20 acres</t>
  </si>
  <si>
    <t>4799/645</t>
  </si>
  <si>
    <t>3170 CROWS NEST LANE</t>
  </si>
  <si>
    <t>14-015-006-00</t>
  </si>
  <si>
    <t>4417/635</t>
  </si>
  <si>
    <t>4971 132ND AVE</t>
  </si>
  <si>
    <t>14-012-013-60</t>
  </si>
  <si>
    <t>4348/9</t>
  </si>
  <si>
    <t>5372 132ND AVE</t>
  </si>
  <si>
    <t>14-010-014-50</t>
  </si>
  <si>
    <t>4410/139</t>
  </si>
  <si>
    <t>3244 48 TH ST</t>
  </si>
  <si>
    <t>14-012-021-00</t>
  </si>
  <si>
    <t>4658/166</t>
  </si>
  <si>
    <t>4849 130TH AVE</t>
  </si>
  <si>
    <t>14-013-005-00</t>
  </si>
  <si>
    <t>4348/7</t>
  </si>
  <si>
    <t>4405/853</t>
  </si>
  <si>
    <t>3230 MARSHALL LN</t>
  </si>
  <si>
    <t>14-012-015-00</t>
  </si>
  <si>
    <t>4399/499</t>
  </si>
  <si>
    <t>4713/863</t>
  </si>
  <si>
    <t>3153 53RD STREET</t>
  </si>
  <si>
    <t>14-015-004-31</t>
  </si>
  <si>
    <t>3425 60TH ST</t>
  </si>
  <si>
    <t>14-006-015-12</t>
  </si>
  <si>
    <t>10 acres</t>
  </si>
  <si>
    <t>4443/199</t>
  </si>
  <si>
    <t>5950 134 TH AVE</t>
  </si>
  <si>
    <t>14-007-005-31</t>
  </si>
  <si>
    <t>4539/566</t>
  </si>
  <si>
    <t>3130 CROWS NEST LANE</t>
  </si>
  <si>
    <t>14-015-006-20</t>
  </si>
  <si>
    <t>5 acres</t>
  </si>
  <si>
    <t>4534/362</t>
  </si>
  <si>
    <t>3157 53RD ST</t>
  </si>
  <si>
    <t>14-015-004-41</t>
  </si>
  <si>
    <t>4615/792</t>
  </si>
  <si>
    <t>3118 52ND ST</t>
  </si>
  <si>
    <t>14-015-003-10</t>
  </si>
  <si>
    <t>4551/577</t>
  </si>
  <si>
    <t>PINE RIDGE TRL</t>
  </si>
  <si>
    <t>14-007-013-08</t>
  </si>
  <si>
    <t>4516/902</t>
  </si>
  <si>
    <t>14-007-013-01</t>
  </si>
  <si>
    <t>4 acres</t>
  </si>
  <si>
    <t>4483/203</t>
  </si>
  <si>
    <t>3185 52ND ST</t>
  </si>
  <si>
    <t>14-014-008-00</t>
  </si>
  <si>
    <t>4459/277</t>
  </si>
  <si>
    <t>3253 ARBOR LANE</t>
  </si>
  <si>
    <t>14-175-005-00</t>
  </si>
  <si>
    <t>4495/900</t>
  </si>
  <si>
    <t>3218 ARBOR LANE</t>
  </si>
  <si>
    <t>14-175-001-00</t>
  </si>
  <si>
    <t>4672/866</t>
  </si>
  <si>
    <t>3303 60TH ST</t>
  </si>
  <si>
    <t>14-007-009-20</t>
  </si>
  <si>
    <t>4730/593</t>
  </si>
  <si>
    <t>LC</t>
  </si>
  <si>
    <t>3298 50TH ST</t>
  </si>
  <si>
    <t>14-011-003-02</t>
  </si>
  <si>
    <t>4735/734</t>
  </si>
  <si>
    <t>QC</t>
  </si>
  <si>
    <t>50TH ST</t>
  </si>
  <si>
    <t>14-012-012-02</t>
  </si>
  <si>
    <t>3 acres</t>
  </si>
  <si>
    <t>4694/106</t>
  </si>
  <si>
    <t>58TH ST</t>
  </si>
  <si>
    <t>14-006-016-10</t>
  </si>
  <si>
    <t>4381/173</t>
  </si>
  <si>
    <t>132 ND AVE</t>
  </si>
  <si>
    <t>14-012-016-30</t>
  </si>
  <si>
    <t>2.5 acre</t>
  </si>
  <si>
    <t>4510/207</t>
  </si>
  <si>
    <t>5875 OLD ALLEGAN RD</t>
  </si>
  <si>
    <t>14-007-021-10</t>
  </si>
  <si>
    <t>4618/261</t>
  </si>
  <si>
    <t>3076 53RD ST</t>
  </si>
  <si>
    <t>14-015-013-10</t>
  </si>
  <si>
    <t>4495/566</t>
  </si>
  <si>
    <t>3201 52ND ST</t>
  </si>
  <si>
    <t>14-011-018-00</t>
  </si>
  <si>
    <t>4787/149</t>
  </si>
  <si>
    <t>5256 WOODSIDE DR</t>
  </si>
  <si>
    <t>14-015-004-43</t>
  </si>
  <si>
    <t>2 acres</t>
  </si>
  <si>
    <t>4538/139</t>
  </si>
  <si>
    <t>5264 WOODSIDE DR</t>
  </si>
  <si>
    <t>14-015-004-42</t>
  </si>
  <si>
    <t>4662/266</t>
  </si>
  <si>
    <t>3580 RIDGEWOOD DR</t>
  </si>
  <si>
    <t>14-001-015-30</t>
  </si>
  <si>
    <t>1.5 acre</t>
  </si>
  <si>
    <t>4552/732</t>
  </si>
  <si>
    <t>3243 50TH ST</t>
  </si>
  <si>
    <t>14-012-013-10</t>
  </si>
  <si>
    <t>4569/41</t>
  </si>
  <si>
    <t>3003 53RD ST</t>
  </si>
  <si>
    <t>14-015-018-10</t>
  </si>
  <si>
    <t>4591/140</t>
  </si>
  <si>
    <t>3255 58TH STREET</t>
  </si>
  <si>
    <t>14-008-005-10</t>
  </si>
  <si>
    <t>4380/79</t>
  </si>
  <si>
    <t>3264 DOGWOOD DR</t>
  </si>
  <si>
    <t>14-012-017-07</t>
  </si>
  <si>
    <t>4397/715</t>
  </si>
  <si>
    <t>3280 DOGWOOD DR</t>
  </si>
  <si>
    <t>14-012-017-12</t>
  </si>
  <si>
    <t>4679/696</t>
  </si>
  <si>
    <t>5320 131ST AVE</t>
  </si>
  <si>
    <t>14-015-028-00</t>
  </si>
  <si>
    <t>4531/259</t>
  </si>
  <si>
    <t>3402 55 TH ST</t>
  </si>
  <si>
    <t>14-004-016-00</t>
  </si>
  <si>
    <t>4527/985</t>
  </si>
  <si>
    <t>3071 53RD ST</t>
  </si>
  <si>
    <t>14-015-024-00</t>
  </si>
  <si>
    <t>1 acre</t>
  </si>
  <si>
    <t>4647/814</t>
  </si>
  <si>
    <t>5004 136TH ST</t>
  </si>
  <si>
    <t>14-002-001-30</t>
  </si>
  <si>
    <t>4793/785</t>
  </si>
  <si>
    <t>4904 136TH AVE</t>
  </si>
  <si>
    <t>14-001-016-00</t>
  </si>
  <si>
    <t>4754/138</t>
  </si>
  <si>
    <t>4836 136TH AVE</t>
  </si>
  <si>
    <t>14-001-003-00</t>
  </si>
  <si>
    <t>14-004-019-10</t>
  </si>
  <si>
    <t>4520/281</t>
  </si>
  <si>
    <t>3466 54TH ST</t>
  </si>
  <si>
    <t>14-004-019-20</t>
  </si>
  <si>
    <t>14-007-022-20</t>
  </si>
  <si>
    <t>4356/797</t>
  </si>
  <si>
    <t>5893 OLD ALLEGAN RD</t>
  </si>
  <si>
    <t>14-007-022-00</t>
  </si>
  <si>
    <t>Rate Group 3</t>
  </si>
  <si>
    <t>Rate Group 2</t>
  </si>
  <si>
    <t>Rate Group 1</t>
  </si>
  <si>
    <t>14-017-012-00</t>
  </si>
  <si>
    <t>MANLIUS RD</t>
  </si>
  <si>
    <t>4805/840</t>
  </si>
  <si>
    <t>RESIDENTIAL SOUTH</t>
  </si>
  <si>
    <t>14-033-022-00</t>
  </si>
  <si>
    <t>DAY AVE</t>
  </si>
  <si>
    <t>4816/679</t>
  </si>
  <si>
    <t>4429/918</t>
  </si>
  <si>
    <t>14-031-002-10</t>
  </si>
  <si>
    <t>58 TH ST</t>
  </si>
  <si>
    <t>4534/449</t>
  </si>
  <si>
    <t>14-017-007-00</t>
  </si>
  <si>
    <t>3123 RIVERBEND TR</t>
  </si>
  <si>
    <t>4504/712</t>
  </si>
  <si>
    <t>14-017-067-10</t>
  </si>
  <si>
    <t>3001 57TH ST</t>
  </si>
  <si>
    <t>4661/341</t>
  </si>
  <si>
    <t>14-017-008-01</t>
  </si>
  <si>
    <t>RIVERBEND TR</t>
  </si>
  <si>
    <t>4735/563</t>
  </si>
  <si>
    <t>14-029-014-00</t>
  </si>
  <si>
    <t>2620 56TH ST</t>
  </si>
  <si>
    <t>4440/901</t>
  </si>
  <si>
    <t>14-017-003-40</t>
  </si>
  <si>
    <t>3135 RIVERBEND TR</t>
  </si>
  <si>
    <t>4752/735</t>
  </si>
  <si>
    <t>14-021-005-11</t>
  </si>
  <si>
    <t>5458 130TH AVENUE</t>
  </si>
  <si>
    <t>4755/680</t>
  </si>
  <si>
    <t>14-018-005-10</t>
  </si>
  <si>
    <t>3100 58TH ST</t>
  </si>
  <si>
    <t>4657/643</t>
  </si>
  <si>
    <t>1.5 acres</t>
  </si>
  <si>
    <t>14-032-014-00</t>
  </si>
  <si>
    <t>2501 58TH ST</t>
  </si>
  <si>
    <t>14-028-002-10</t>
  </si>
  <si>
    <t>5408 128TH AVE</t>
  </si>
  <si>
    <t>4632/500</t>
  </si>
  <si>
    <t>14-033-006-20</t>
  </si>
  <si>
    <t>2553 56TH ST</t>
  </si>
  <si>
    <t>4461/891</t>
  </si>
  <si>
    <t>14-033-037-80</t>
  </si>
  <si>
    <t>2469 55 TH ST</t>
  </si>
  <si>
    <t>4522/161</t>
  </si>
  <si>
    <t>14-033-037-96</t>
  </si>
  <si>
    <t>5487 DALTON RIDGE</t>
  </si>
  <si>
    <t>4434/395</t>
  </si>
  <si>
    <t>2.5 acres</t>
  </si>
  <si>
    <t>14-655-003-00</t>
  </si>
  <si>
    <t>2669 SETTLERS CREEK RD</t>
  </si>
  <si>
    <t>4782/799</t>
  </si>
  <si>
    <t>14-017-013-00</t>
  </si>
  <si>
    <t>3148 MANLIUS RD</t>
  </si>
  <si>
    <t>4764/740</t>
  </si>
  <si>
    <t>14-021-004-13</t>
  </si>
  <si>
    <t>5440 130TH AVE</t>
  </si>
  <si>
    <t>4816/234</t>
  </si>
  <si>
    <t>14-031-007-02</t>
  </si>
  <si>
    <t>4735/491</t>
  </si>
  <si>
    <t>14-030-001-80</t>
  </si>
  <si>
    <t>2768 58 TH ST</t>
  </si>
  <si>
    <t>4590/144</t>
  </si>
  <si>
    <t>14-021-007-60</t>
  </si>
  <si>
    <t>OLD ALLEGAN RD</t>
  </si>
  <si>
    <t>4482/637</t>
  </si>
  <si>
    <t>4804/823</t>
  </si>
  <si>
    <t>14-027-017-00</t>
  </si>
  <si>
    <t>4475/917</t>
  </si>
  <si>
    <t>14-017-061-00</t>
  </si>
  <si>
    <t>3054 OLD ALLEGAN RD</t>
  </si>
  <si>
    <t>4785/89</t>
  </si>
  <si>
    <t>14-021-007-20</t>
  </si>
  <si>
    <t>5465 LILAND TRACE</t>
  </si>
  <si>
    <t>4665/282</t>
  </si>
  <si>
    <t>14-655-004-00</t>
  </si>
  <si>
    <t>2661 SETTLERS CREEK RD</t>
  </si>
  <si>
    <t>4782/793</t>
  </si>
  <si>
    <t>14-033-009-55</t>
  </si>
  <si>
    <t>2490 55 TH ST</t>
  </si>
  <si>
    <t>4609/141</t>
  </si>
  <si>
    <t>14-034-005-00</t>
  </si>
  <si>
    <t>2547 54TH</t>
  </si>
  <si>
    <t>4682/766</t>
  </si>
  <si>
    <t>4682/770</t>
  </si>
  <si>
    <t>14-020-003-50</t>
  </si>
  <si>
    <t>2966 56TH ST</t>
  </si>
  <si>
    <t>4602/668</t>
  </si>
  <si>
    <t>14-020-018-10</t>
  </si>
  <si>
    <t>5702 130TH AVE</t>
  </si>
  <si>
    <t>09-FAMILY</t>
  </si>
  <si>
    <t>4653/895</t>
  </si>
  <si>
    <t>7 acres</t>
  </si>
  <si>
    <t>14-030-009-41</t>
  </si>
  <si>
    <t>14-021-017-00</t>
  </si>
  <si>
    <t>5555 128TH AVE</t>
  </si>
  <si>
    <t>4598/369</t>
  </si>
  <si>
    <t>14-027-029-00</t>
  </si>
  <si>
    <t>2683 OLD ALLEGAN RD</t>
  </si>
  <si>
    <t>14-033-009-00</t>
  </si>
  <si>
    <t>2464 55TH ST</t>
  </si>
  <si>
    <t>4573/156</t>
  </si>
  <si>
    <t>14-033-009-40</t>
  </si>
  <si>
    <t>14-036-007-10</t>
  </si>
  <si>
    <t>2468 49TH STREET</t>
  </si>
  <si>
    <t>14-030-008-11</t>
  </si>
  <si>
    <t>2717 60TH</t>
  </si>
  <si>
    <t>4682/888</t>
  </si>
  <si>
    <t>14-019-001-20</t>
  </si>
  <si>
    <t>3057 58TH ST</t>
  </si>
  <si>
    <t>4556/359</t>
  </si>
  <si>
    <t>14-019-001-05</t>
  </si>
  <si>
    <t>5836 TIMBER BLUFF TRAIL</t>
  </si>
  <si>
    <t>4717/370</t>
  </si>
  <si>
    <t>15 acres</t>
  </si>
  <si>
    <t>14-019-001-01</t>
  </si>
  <si>
    <t>4755/155</t>
  </si>
  <si>
    <t>14-033-001-02</t>
  </si>
  <si>
    <t>5426 126TH AVE</t>
  </si>
  <si>
    <t>4549/20</t>
  </si>
  <si>
    <t>14-033-009-30</t>
  </si>
  <si>
    <t>2479 56TH ST</t>
  </si>
  <si>
    <t>14-033-006-00</t>
  </si>
  <si>
    <t>56TH ST</t>
  </si>
  <si>
    <t>4766/299</t>
  </si>
  <si>
    <t>14-033-001-00</t>
  </si>
  <si>
    <t>5426 126 TH AVE</t>
  </si>
  <si>
    <t>14-032-006-00</t>
  </si>
  <si>
    <t>4424/495</t>
  </si>
  <si>
    <t>14-019-001-00</t>
  </si>
  <si>
    <t>4581/874</t>
  </si>
  <si>
    <t>14-023-002-00</t>
  </si>
  <si>
    <t>130TH AVE</t>
  </si>
  <si>
    <t>50-100 acres</t>
  </si>
  <si>
    <t>14-250-007-00</t>
  </si>
  <si>
    <t>3569 BROOK POINT DR</t>
  </si>
  <si>
    <t>250</t>
  </si>
  <si>
    <t>4794/13</t>
  </si>
  <si>
    <t>GREENFIELD CONDO</t>
  </si>
  <si>
    <t>14-250-015-00</t>
  </si>
  <si>
    <t>3592 BROOK POINT DR</t>
  </si>
  <si>
    <t>4812/974</t>
  </si>
  <si>
    <t>14-250-018-00</t>
  </si>
  <si>
    <t>3584 BROOK POINT DR</t>
  </si>
  <si>
    <t>14-250-022-00</t>
  </si>
  <si>
    <t>3570 BROOK POINT DR</t>
  </si>
  <si>
    <t>4718/169</t>
  </si>
  <si>
    <t>275</t>
  </si>
  <si>
    <t>GREENFIELD SUB</t>
  </si>
  <si>
    <t>14-276-020-00</t>
  </si>
  <si>
    <t>3537 GREENFIELD LANE</t>
  </si>
  <si>
    <t>4742/641</t>
  </si>
  <si>
    <t>14-276-023-00</t>
  </si>
  <si>
    <t>3525 GREENFIELD LANE</t>
  </si>
  <si>
    <t>14-290-007-00</t>
  </si>
  <si>
    <t>4803 GREEN MEADOW CT</t>
  </si>
  <si>
    <t>4724/643</t>
  </si>
  <si>
    <t>14-295-005-00</t>
  </si>
  <si>
    <t>3314 HERITAGE SOUTH</t>
  </si>
  <si>
    <t>295</t>
  </si>
  <si>
    <t>HERITAGE PINES</t>
  </si>
  <si>
    <t>300</t>
  </si>
  <si>
    <t>HUNTERS RIDGE</t>
  </si>
  <si>
    <t>14-300-004-00</t>
  </si>
  <si>
    <t>5823 HUNTERS RIDGE</t>
  </si>
  <si>
    <t>4510/751</t>
  </si>
  <si>
    <t>14-300-011-00</t>
  </si>
  <si>
    <t>5818 HUNTERS RIDGE</t>
  </si>
  <si>
    <t>4693/513</t>
  </si>
  <si>
    <t>14-300-014-00</t>
  </si>
  <si>
    <t>5804 HUNTERS RIDGE</t>
  </si>
  <si>
    <t>4651/940</t>
  </si>
  <si>
    <t>14-300-013-00</t>
  </si>
  <si>
    <t>14-575-040-00</t>
  </si>
  <si>
    <t>5939 PRESERVATION DR</t>
  </si>
  <si>
    <t>575</t>
  </si>
  <si>
    <t>4660/19</t>
  </si>
  <si>
    <t>PRESERVATION ESTATES</t>
  </si>
  <si>
    <t>Wedevan</t>
  </si>
  <si>
    <t>Preservation</t>
  </si>
  <si>
    <t>Oakridge</t>
  </si>
  <si>
    <t>Heritage</t>
  </si>
  <si>
    <t>4660/327</t>
  </si>
  <si>
    <t>14-560-010-00</t>
  </si>
  <si>
    <t>2461 ORCHARD VALLEY DR</t>
  </si>
  <si>
    <t>560</t>
  </si>
  <si>
    <t>4535/52</t>
  </si>
  <si>
    <t>ORCHARD VALLEY</t>
  </si>
  <si>
    <t>14-560-023-00</t>
  </si>
  <si>
    <t>2502 ORCHARD VALLEY DR</t>
  </si>
  <si>
    <t>4485/600</t>
  </si>
  <si>
    <t>14-700-011-00</t>
  </si>
  <si>
    <t>3560 WALNUT PARK DR</t>
  </si>
  <si>
    <t>700</t>
  </si>
  <si>
    <t>4594/102</t>
  </si>
  <si>
    <t>WALNUT PARK</t>
  </si>
  <si>
    <t>14-700-027-00</t>
  </si>
  <si>
    <t>3579 WALNUT COURT</t>
  </si>
  <si>
    <t>4533/689</t>
  </si>
  <si>
    <t>14-700-029-00</t>
  </si>
  <si>
    <t>3587 WALNUT COURT</t>
  </si>
  <si>
    <t>4618/775</t>
  </si>
  <si>
    <t>Greenfield Sub</t>
  </si>
  <si>
    <t>500</t>
  </si>
  <si>
    <t>MARJO ESTATES</t>
  </si>
  <si>
    <t>14-500-020-00</t>
  </si>
  <si>
    <t>5832 ELL COURT</t>
  </si>
  <si>
    <t>4618/265</t>
  </si>
  <si>
    <t>14-500-028-00</t>
  </si>
  <si>
    <t>5814 ELL COURT</t>
  </si>
  <si>
    <t>4569/713</t>
  </si>
  <si>
    <t>09-550-008-00</t>
  </si>
  <si>
    <t>M 40 HWY</t>
  </si>
  <si>
    <t>HEA-C</t>
  </si>
  <si>
    <t>4349/502</t>
  </si>
  <si>
    <t xml:space="preserve"> HEATH TOWNSHIP COMM </t>
  </si>
  <si>
    <t>COM VAC</t>
  </si>
  <si>
    <t>302</t>
  </si>
  <si>
    <t>12-027-010-02</t>
  </si>
  <si>
    <t>5357 103RD AVE</t>
  </si>
  <si>
    <t>LEE-C</t>
  </si>
  <si>
    <t>4490/349</t>
  </si>
  <si>
    <t xml:space="preserve"> LEE TOWNSHIP COMM </t>
  </si>
  <si>
    <t>14-034-028-00</t>
  </si>
  <si>
    <t>19-MULTI PARCEL ARM'S LENGTH</t>
  </si>
  <si>
    <t>14-034-012-00, 14-034-012-10</t>
  </si>
  <si>
    <t>17-024-084-00</t>
  </si>
  <si>
    <t>M-89 HWY</t>
  </si>
  <si>
    <t>OTS-C</t>
  </si>
  <si>
    <t>4562/325</t>
  </si>
  <si>
    <t xml:space="preserve"> OTSEGO TOWNSHIP COMM </t>
  </si>
  <si>
    <t>202</t>
  </si>
  <si>
    <t>20-010-037-00</t>
  </si>
  <si>
    <t>BLUE STAR HWY V/L</t>
  </si>
  <si>
    <t>SAU-C</t>
  </si>
  <si>
    <t>4360/680</t>
  </si>
  <si>
    <t>20-010-035-30</t>
  </si>
  <si>
    <t xml:space="preserve"> SAUGATUCK TOWNSHIP COMM </t>
  </si>
  <si>
    <t>23-024-001-50</t>
  </si>
  <si>
    <t>12TH ST</t>
  </si>
  <si>
    <t>WAT-C</t>
  </si>
  <si>
    <t>4420/662</t>
  </si>
  <si>
    <t>23-024-001-60</t>
  </si>
  <si>
    <t xml:space="preserve"> WATSON TOWNSHIP IND </t>
  </si>
  <si>
    <t>53-02-05-446-014</t>
  </si>
  <si>
    <t>133 VETERANS DR</t>
  </si>
  <si>
    <t>XHO-C</t>
  </si>
  <si>
    <t>4426/55</t>
  </si>
  <si>
    <t xml:space="preserve"> HOLLAND CITY AG&amp; RES ECF</t>
  </si>
  <si>
    <t>53-02-06-200-091</t>
  </si>
  <si>
    <t>904 WASHINGTON</t>
  </si>
  <si>
    <t>4412/585</t>
  </si>
  <si>
    <t>VACANT PROPERTY</t>
  </si>
  <si>
    <t xml:space="preserve"> HOLLAND CITY COMM </t>
  </si>
  <si>
    <t>53-02-18-200-011</t>
  </si>
  <si>
    <t>1895 TRANSPORT LN</t>
  </si>
  <si>
    <t>4343/680</t>
  </si>
  <si>
    <t>19-029-015-10</t>
  </si>
  <si>
    <t>$2800/wet</t>
  </si>
  <si>
    <t>08-280-015-00</t>
  </si>
  <si>
    <t>569 9TH ST</t>
  </si>
  <si>
    <t>4100</t>
  </si>
  <si>
    <t>4359/832</t>
  </si>
  <si>
    <t>RESIDENTIAL</t>
  </si>
  <si>
    <t>5289 124 TH AVE</t>
  </si>
  <si>
    <t>201S</t>
  </si>
  <si>
    <t>Comm/Ind</t>
  </si>
  <si>
    <t>Excess</t>
  </si>
  <si>
    <t>sq ft</t>
  </si>
  <si>
    <t>Res Site</t>
  </si>
  <si>
    <t>$6300/tillable</t>
  </si>
  <si>
    <t>$3100/non till</t>
  </si>
  <si>
    <t>12% increse from 2022</t>
  </si>
  <si>
    <t>*Increase based on average increase of 1 acre on north and south</t>
  </si>
  <si>
    <t>$35600 / $43000</t>
  </si>
  <si>
    <t>14-007-019-60</t>
  </si>
  <si>
    <t>5837 NATILYN DR</t>
  </si>
  <si>
    <t>4551/428</t>
  </si>
  <si>
    <t>14-276-021-00</t>
  </si>
  <si>
    <t>3533 GREENFIELD LANE</t>
  </si>
  <si>
    <t>4479/12</t>
  </si>
  <si>
    <t>Site: $43000</t>
  </si>
  <si>
    <t>Hunters</t>
  </si>
  <si>
    <t>14-300-002-00</t>
  </si>
  <si>
    <t>5813 HUNTERS RIDGE</t>
  </si>
  <si>
    <t>4522/818</t>
  </si>
  <si>
    <t>5808 HUNTERS RIDGE</t>
  </si>
  <si>
    <t>14-300-015-00</t>
  </si>
  <si>
    <t>5827 128TH AVE</t>
  </si>
  <si>
    <t>4699/642</t>
  </si>
  <si>
    <t>4640/905</t>
  </si>
  <si>
    <t>*Used Greenfield for large site value</t>
  </si>
  <si>
    <t>MarJo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</si>
</sst>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0.00_);[Red]\(#0.00\)"/>
    <numFmt numFmtId="166" formatCode="mm/dd/yy"/>
    <numFmt numFmtId="167" formatCode="#,##0.0_);[Red]\(#,##0.0\)"/>
    <numFmt numFmtId="168" formatCode="#0.0_);[Red]\(#0.0\)"/>
    <numFmt numFmtId="169" formatCode="&quot;$&quot;#,##0_);[Red]\(&quot;$&quot;#,##0.00\)"/>
    <numFmt numFmtId="170" formatCode="0.0"/>
    <numFmt numFmtId="171" formatCode="&quot;$&quot;#,##0"/>
    <numFmt numFmtId="172" formatCode="mm/dd/yyyy"/>
    <numFmt numFmtId="173" formatCode="m/d/yy;@"/>
    <numFmt numFmtId="174" formatCode="mm/d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6" fontId="0" fillId="0" borderId="0" xfId="0" applyNumberFormat="1"/>
    <xf numFmtId="164" fontId="0" fillId="0" borderId="0" xfId="1" applyNumberFormat="1" applyFont="1"/>
    <xf numFmtId="0" fontId="2" fillId="0" borderId="1" xfId="0" applyFont="1" applyBorder="1" applyAlignment="1">
      <alignment horizontal="center"/>
    </xf>
    <xf numFmtId="164" fontId="0" fillId="0" borderId="1" xfId="1" applyNumberFormat="1" applyFont="1" applyBorder="1"/>
    <xf numFmtId="0" fontId="2" fillId="0" borderId="0" xfId="0" applyFont="1"/>
    <xf numFmtId="6" fontId="0" fillId="0" borderId="1" xfId="0" applyNumberFormat="1" applyBorder="1"/>
    <xf numFmtId="0" fontId="4" fillId="0" borderId="0" xfId="0" applyFont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14" fontId="0" fillId="0" borderId="0" xfId="0" applyNumberFormat="1"/>
    <xf numFmtId="6" fontId="5" fillId="5" borderId="0" xfId="0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165" fontId="0" fillId="0" borderId="0" xfId="0" applyNumberFormat="1"/>
    <xf numFmtId="166" fontId="5" fillId="5" borderId="0" xfId="0" applyNumberFormat="1" applyFont="1" applyFill="1" applyAlignment="1">
      <alignment horizontal="center"/>
    </xf>
    <xf numFmtId="166" fontId="0" fillId="0" borderId="0" xfId="0" applyNumberFormat="1"/>
    <xf numFmtId="167" fontId="5" fillId="5" borderId="0" xfId="0" applyNumberFormat="1" applyFont="1" applyFill="1" applyAlignment="1">
      <alignment horizontal="center"/>
    </xf>
    <xf numFmtId="167" fontId="0" fillId="0" borderId="0" xfId="0" applyNumberFormat="1"/>
    <xf numFmtId="168" fontId="5" fillId="5" borderId="0" xfId="0" applyNumberFormat="1" applyFont="1" applyFill="1" applyAlignment="1">
      <alignment horizontal="center"/>
    </xf>
    <xf numFmtId="168" fontId="0" fillId="0" borderId="0" xfId="0" applyNumberFormat="1"/>
    <xf numFmtId="40" fontId="5" fillId="5" borderId="0" xfId="0" applyNumberFormat="1" applyFont="1" applyFill="1" applyAlignment="1">
      <alignment horizontal="center"/>
    </xf>
    <xf numFmtId="40" fontId="0" fillId="0" borderId="0" xfId="0" applyNumberFormat="1"/>
    <xf numFmtId="8" fontId="5" fillId="5" borderId="0" xfId="0" applyNumberFormat="1" applyFont="1" applyFill="1" applyAlignment="1">
      <alignment horizontal="center"/>
    </xf>
    <xf numFmtId="8" fontId="0" fillId="0" borderId="0" xfId="0" applyNumberFormat="1"/>
    <xf numFmtId="0" fontId="7" fillId="0" borderId="0" xfId="0" applyFont="1"/>
    <xf numFmtId="0" fontId="0" fillId="0" borderId="0" xfId="0" applyAlignment="1">
      <alignment horizontal="right"/>
    </xf>
    <xf numFmtId="170" fontId="7" fillId="0" borderId="0" xfId="0" applyNumberFormat="1" applyFont="1"/>
    <xf numFmtId="0" fontId="8" fillId="0" borderId="0" xfId="0" applyFont="1"/>
    <xf numFmtId="171" fontId="7" fillId="0" borderId="0" xfId="0" applyNumberFormat="1" applyFont="1"/>
    <xf numFmtId="6" fontId="9" fillId="0" borderId="0" xfId="0" applyNumberFormat="1" applyFont="1"/>
    <xf numFmtId="0" fontId="9" fillId="0" borderId="0" xfId="0" quotePrefix="1" applyFont="1"/>
    <xf numFmtId="172" fontId="9" fillId="0" borderId="0" xfId="0" applyNumberFormat="1" applyFont="1"/>
    <xf numFmtId="2" fontId="7" fillId="0" borderId="0" xfId="0" applyNumberFormat="1" applyFont="1"/>
    <xf numFmtId="0" fontId="9" fillId="0" borderId="0" xfId="0" applyFont="1"/>
    <xf numFmtId="0" fontId="10" fillId="0" borderId="0" xfId="0" applyFont="1"/>
    <xf numFmtId="2" fontId="11" fillId="0" borderId="0" xfId="0" applyNumberFormat="1" applyFont="1"/>
    <xf numFmtId="2" fontId="10" fillId="0" borderId="0" xfId="0" applyNumberFormat="1" applyFont="1"/>
    <xf numFmtId="171" fontId="10" fillId="0" borderId="1" xfId="0" applyNumberFormat="1" applyFont="1" applyBorder="1"/>
    <xf numFmtId="170" fontId="10" fillId="0" borderId="0" xfId="0" applyNumberFormat="1" applyFont="1"/>
    <xf numFmtId="6" fontId="1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173" fontId="11" fillId="0" borderId="0" xfId="0" applyNumberFormat="1" applyFont="1"/>
    <xf numFmtId="164" fontId="10" fillId="0" borderId="0" xfId="1" applyNumberFormat="1" applyFont="1"/>
    <xf numFmtId="174" fontId="11" fillId="0" borderId="0" xfId="0" applyNumberFormat="1" applyFont="1"/>
    <xf numFmtId="171" fontId="10" fillId="0" borderId="0" xfId="0" applyNumberFormat="1" applyFont="1"/>
    <xf numFmtId="0" fontId="10" fillId="0" borderId="0" xfId="0" applyFont="1" applyAlignment="1">
      <alignment horizontal="center"/>
    </xf>
    <xf numFmtId="174" fontId="10" fillId="0" borderId="0" xfId="0" applyNumberFormat="1" applyFont="1"/>
    <xf numFmtId="171" fontId="10" fillId="0" borderId="0" xfId="0" quotePrefix="1" applyNumberFormat="1" applyFont="1"/>
    <xf numFmtId="2" fontId="12" fillId="0" borderId="0" xfId="0" applyNumberFormat="1" applyFont="1"/>
    <xf numFmtId="170" fontId="12" fillId="0" borderId="0" xfId="0" applyNumberFormat="1" applyFont="1"/>
    <xf numFmtId="171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174" fontId="12" fillId="0" borderId="0" xfId="0" applyNumberFormat="1" applyFont="1"/>
    <xf numFmtId="0" fontId="11" fillId="0" borderId="0" xfId="0" quotePrefix="1" applyFont="1"/>
    <xf numFmtId="172" fontId="11" fillId="0" borderId="0" xfId="0" applyNumberFormat="1" applyFont="1"/>
    <xf numFmtId="171" fontId="10" fillId="0" borderId="5" xfId="0" applyNumberFormat="1" applyFont="1" applyBorder="1"/>
    <xf numFmtId="14" fontId="11" fillId="0" borderId="0" xfId="0" applyNumberFormat="1" applyFont="1"/>
    <xf numFmtId="0" fontId="7" fillId="0" borderId="12" xfId="0" applyFont="1" applyBorder="1"/>
    <xf numFmtId="0" fontId="7" fillId="0" borderId="13" xfId="0" applyFont="1" applyBorder="1"/>
    <xf numFmtId="0" fontId="10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10" fillId="0" borderId="17" xfId="0" applyFont="1" applyBorder="1"/>
    <xf numFmtId="0" fontId="13" fillId="0" borderId="0" xfId="0" applyFont="1"/>
    <xf numFmtId="171" fontId="7" fillId="0" borderId="1" xfId="0" applyNumberFormat="1" applyFont="1" applyBorder="1"/>
    <xf numFmtId="6" fontId="0" fillId="0" borderId="19" xfId="0" applyNumberFormat="1" applyBorder="1"/>
    <xf numFmtId="40" fontId="0" fillId="0" borderId="10" xfId="0" applyNumberFormat="1" applyBorder="1"/>
    <xf numFmtId="6" fontId="0" fillId="0" borderId="10" xfId="0" applyNumberFormat="1" applyBorder="1"/>
    <xf numFmtId="40" fontId="2" fillId="0" borderId="19" xfId="0" applyNumberFormat="1" applyFont="1" applyBorder="1" applyAlignment="1">
      <alignment horizontal="center"/>
    </xf>
    <xf numFmtId="44" fontId="0" fillId="0" borderId="1" xfId="1" applyFont="1" applyBorder="1"/>
    <xf numFmtId="6" fontId="2" fillId="0" borderId="0" xfId="0" applyNumberFormat="1" applyFont="1"/>
    <xf numFmtId="6" fontId="0" fillId="0" borderId="20" xfId="0" applyNumberFormat="1" applyBorder="1"/>
    <xf numFmtId="40" fontId="0" fillId="0" borderId="20" xfId="0" applyNumberFormat="1" applyBorder="1"/>
    <xf numFmtId="0" fontId="6" fillId="6" borderId="9" xfId="0" applyFont="1" applyFill="1" applyBorder="1"/>
    <xf numFmtId="0" fontId="6" fillId="6" borderId="9" xfId="0" applyFont="1" applyFill="1" applyBorder="1" applyAlignment="1">
      <alignment horizontal="right"/>
    </xf>
    <xf numFmtId="0" fontId="6" fillId="6" borderId="0" xfId="0" applyFont="1" applyFill="1"/>
    <xf numFmtId="0" fontId="6" fillId="6" borderId="0" xfId="0" applyFont="1" applyFill="1" applyAlignment="1">
      <alignment horizontal="right"/>
    </xf>
    <xf numFmtId="0" fontId="6" fillId="6" borderId="10" xfId="0" applyFont="1" applyFill="1" applyBorder="1"/>
    <xf numFmtId="0" fontId="6" fillId="6" borderId="10" xfId="0" applyFont="1" applyFill="1" applyBorder="1" applyAlignment="1">
      <alignment horizontal="right"/>
    </xf>
    <xf numFmtId="6" fontId="6" fillId="6" borderId="9" xfId="0" applyNumberFormat="1" applyFont="1" applyFill="1" applyBorder="1"/>
    <xf numFmtId="6" fontId="6" fillId="6" borderId="0" xfId="0" applyNumberFormat="1" applyFont="1" applyFill="1"/>
    <xf numFmtId="6" fontId="6" fillId="6" borderId="10" xfId="0" applyNumberFormat="1" applyFont="1" applyFill="1" applyBorder="1"/>
    <xf numFmtId="165" fontId="6" fillId="6" borderId="9" xfId="0" applyNumberFormat="1" applyFont="1" applyFill="1" applyBorder="1"/>
    <xf numFmtId="165" fontId="6" fillId="6" borderId="0" xfId="0" applyNumberFormat="1" applyFont="1" applyFill="1"/>
    <xf numFmtId="165" fontId="6" fillId="6" borderId="10" xfId="0" applyNumberFormat="1" applyFont="1" applyFill="1" applyBorder="1"/>
    <xf numFmtId="166" fontId="6" fillId="6" borderId="9" xfId="0" applyNumberFormat="1" applyFont="1" applyFill="1" applyBorder="1"/>
    <xf numFmtId="166" fontId="6" fillId="6" borderId="0" xfId="0" applyNumberFormat="1" applyFont="1" applyFill="1"/>
    <xf numFmtId="166" fontId="6" fillId="6" borderId="10" xfId="0" applyNumberFormat="1" applyFont="1" applyFill="1" applyBorder="1"/>
    <xf numFmtId="167" fontId="6" fillId="6" borderId="9" xfId="0" applyNumberFormat="1" applyFont="1" applyFill="1" applyBorder="1"/>
    <xf numFmtId="167" fontId="6" fillId="6" borderId="0" xfId="0" applyNumberFormat="1" applyFont="1" applyFill="1"/>
    <xf numFmtId="168" fontId="6" fillId="6" borderId="9" xfId="0" applyNumberFormat="1" applyFont="1" applyFill="1" applyBorder="1"/>
    <xf numFmtId="168" fontId="6" fillId="6" borderId="0" xfId="0" applyNumberFormat="1" applyFont="1" applyFill="1"/>
    <xf numFmtId="168" fontId="6" fillId="6" borderId="10" xfId="0" applyNumberFormat="1" applyFont="1" applyFill="1" applyBorder="1"/>
    <xf numFmtId="40" fontId="6" fillId="6" borderId="9" xfId="0" applyNumberFormat="1" applyFont="1" applyFill="1" applyBorder="1"/>
    <xf numFmtId="40" fontId="6" fillId="6" borderId="0" xfId="0" applyNumberFormat="1" applyFont="1" applyFill="1"/>
    <xf numFmtId="40" fontId="6" fillId="6" borderId="10" xfId="0" applyNumberFormat="1" applyFont="1" applyFill="1" applyBorder="1"/>
    <xf numFmtId="8" fontId="6" fillId="6" borderId="9" xfId="0" applyNumberFormat="1" applyFont="1" applyFill="1" applyBorder="1"/>
    <xf numFmtId="8" fontId="6" fillId="6" borderId="0" xfId="0" applyNumberFormat="1" applyFont="1" applyFill="1"/>
    <xf numFmtId="8" fontId="6" fillId="6" borderId="10" xfId="0" applyNumberFormat="1" applyFont="1" applyFill="1" applyBorder="1"/>
    <xf numFmtId="169" fontId="6" fillId="6" borderId="10" xfId="0" applyNumberFormat="1" applyFont="1" applyFill="1" applyBorder="1"/>
    <xf numFmtId="6" fontId="2" fillId="0" borderId="19" xfId="0" applyNumberFormat="1" applyFont="1" applyBorder="1"/>
    <xf numFmtId="0" fontId="0" fillId="7" borderId="0" xfId="0" applyFill="1" applyAlignment="1">
      <alignment horizontal="center"/>
    </xf>
    <xf numFmtId="0" fontId="0" fillId="7" borderId="0" xfId="0" applyFill="1"/>
    <xf numFmtId="9" fontId="0" fillId="0" borderId="0" xfId="2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6" fontId="2" fillId="0" borderId="6" xfId="0" applyNumberFormat="1" applyFont="1" applyBorder="1" applyAlignment="1">
      <alignment horizontal="center"/>
    </xf>
    <xf numFmtId="6" fontId="2" fillId="0" borderId="7" xfId="0" applyNumberFormat="1" applyFont="1" applyBorder="1" applyAlignment="1">
      <alignment horizontal="center"/>
    </xf>
    <xf numFmtId="6" fontId="2" fillId="0" borderId="8" xfId="0" applyNumberFormat="1" applyFont="1" applyBorder="1" applyAlignment="1">
      <alignment horizontal="center"/>
    </xf>
    <xf numFmtId="0" fontId="2" fillId="0" borderId="1" xfId="0" applyFont="1" applyBorder="1"/>
    <xf numFmtId="8" fontId="2" fillId="0" borderId="1" xfId="0" applyNumberFormat="1" applyFont="1" applyBorder="1"/>
    <xf numFmtId="166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4" fillId="0" borderId="0" xfId="1" applyNumberFormat="1" applyFont="1"/>
    <xf numFmtId="6" fontId="15" fillId="0" borderId="0" xfId="0" applyNumberFormat="1" applyFont="1"/>
    <xf numFmtId="0" fontId="15" fillId="0" borderId="0" xfId="0" applyFont="1"/>
    <xf numFmtId="6" fontId="15" fillId="0" borderId="0" xfId="0" applyNumberFormat="1" applyFont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/>
    </xf>
    <xf numFmtId="6" fontId="0" fillId="0" borderId="1" xfId="0" applyNumberFormat="1" applyBorder="1" applyAlignment="1">
      <alignment horizontal="center"/>
    </xf>
    <xf numFmtId="0" fontId="0" fillId="0" borderId="0" xfId="0"/>
    <xf numFmtId="0" fontId="5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5" borderId="0" xfId="0" applyFont="1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6" fillId="6" borderId="9" xfId="0" applyFont="1" applyFill="1" applyBorder="1"/>
    <xf numFmtId="0" fontId="6" fillId="6" borderId="9" xfId="0" applyFont="1" applyFill="1" applyBorder="1" applyAlignment="1">
      <alignment horizontal="right"/>
    </xf>
    <xf numFmtId="0" fontId="6" fillId="6" borderId="0" xfId="0" applyFont="1" applyFill="1" applyBorder="1"/>
    <xf numFmtId="0" fontId="6" fillId="6" borderId="0" xfId="0" applyFont="1" applyFill="1" applyBorder="1" applyAlignment="1">
      <alignment horizontal="right"/>
    </xf>
    <xf numFmtId="0" fontId="6" fillId="6" borderId="10" xfId="0" applyFont="1" applyFill="1" applyBorder="1"/>
    <xf numFmtId="0" fontId="6" fillId="6" borderId="10" xfId="0" applyFont="1" applyFill="1" applyBorder="1" applyAlignment="1">
      <alignment horizontal="right"/>
    </xf>
    <xf numFmtId="6" fontId="5" fillId="5" borderId="0" xfId="0" applyNumberFormat="1" applyFont="1" applyFill="1" applyAlignment="1">
      <alignment horizontal="center"/>
    </xf>
    <xf numFmtId="6" fontId="0" fillId="0" borderId="0" xfId="0" applyNumberFormat="1"/>
    <xf numFmtId="6" fontId="6" fillId="6" borderId="9" xfId="0" applyNumberFormat="1" applyFont="1" applyFill="1" applyBorder="1"/>
    <xf numFmtId="6" fontId="6" fillId="6" borderId="0" xfId="0" applyNumberFormat="1" applyFont="1" applyFill="1" applyBorder="1"/>
    <xf numFmtId="6" fontId="6" fillId="6" borderId="10" xfId="0" applyNumberFormat="1" applyFont="1" applyFill="1" applyBorder="1"/>
    <xf numFmtId="165" fontId="5" fillId="5" borderId="0" xfId="0" applyNumberFormat="1" applyFont="1" applyFill="1" applyAlignment="1">
      <alignment horizontal="center"/>
    </xf>
    <xf numFmtId="165" fontId="0" fillId="0" borderId="0" xfId="0" applyNumberFormat="1"/>
    <xf numFmtId="165" fontId="6" fillId="6" borderId="9" xfId="0" applyNumberFormat="1" applyFont="1" applyFill="1" applyBorder="1"/>
    <xf numFmtId="165" fontId="6" fillId="6" borderId="0" xfId="0" applyNumberFormat="1" applyFont="1" applyFill="1" applyBorder="1"/>
    <xf numFmtId="165" fontId="6" fillId="6" borderId="10" xfId="0" applyNumberFormat="1" applyFont="1" applyFill="1" applyBorder="1"/>
    <xf numFmtId="166" fontId="5" fillId="5" borderId="0" xfId="0" applyNumberFormat="1" applyFont="1" applyFill="1" applyAlignment="1">
      <alignment horizontal="center"/>
    </xf>
    <xf numFmtId="166" fontId="0" fillId="0" borderId="0" xfId="0" applyNumberFormat="1"/>
    <xf numFmtId="166" fontId="6" fillId="6" borderId="9" xfId="0" applyNumberFormat="1" applyFont="1" applyFill="1" applyBorder="1"/>
    <xf numFmtId="166" fontId="6" fillId="6" borderId="0" xfId="0" applyNumberFormat="1" applyFont="1" applyFill="1" applyBorder="1"/>
    <xf numFmtId="166" fontId="6" fillId="6" borderId="10" xfId="0" applyNumberFormat="1" applyFont="1" applyFill="1" applyBorder="1"/>
    <xf numFmtId="40" fontId="5" fillId="5" borderId="0" xfId="0" applyNumberFormat="1" applyFont="1" applyFill="1" applyAlignment="1">
      <alignment horizontal="center"/>
    </xf>
    <xf numFmtId="40" fontId="0" fillId="0" borderId="0" xfId="0" applyNumberFormat="1"/>
    <xf numFmtId="40" fontId="6" fillId="6" borderId="9" xfId="0" applyNumberFormat="1" applyFont="1" applyFill="1" applyBorder="1"/>
    <xf numFmtId="40" fontId="6" fillId="6" borderId="0" xfId="0" applyNumberFormat="1" applyFont="1" applyFill="1" applyBorder="1"/>
    <xf numFmtId="40" fontId="6" fillId="6" borderId="10" xfId="0" applyNumberFormat="1" applyFont="1" applyFill="1" applyBorder="1"/>
    <xf numFmtId="8" fontId="6" fillId="6" borderId="9" xfId="0" applyNumberFormat="1" applyFont="1" applyFill="1" applyBorder="1"/>
    <xf numFmtId="8" fontId="6" fillId="6" borderId="0" xfId="0" applyNumberFormat="1" applyFont="1" applyFill="1" applyBorder="1"/>
    <xf numFmtId="8" fontId="6" fillId="6" borderId="10" xfId="0" applyNumberFormat="1" applyFont="1" applyFill="1" applyBorder="1"/>
    <xf numFmtId="0" fontId="0" fillId="0" borderId="0" xfId="0"/>
    <xf numFmtId="0" fontId="5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5" borderId="0" xfId="0" applyFont="1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6" fillId="6" borderId="9" xfId="0" applyFont="1" applyFill="1" applyBorder="1"/>
    <xf numFmtId="0" fontId="6" fillId="6" borderId="9" xfId="0" applyFont="1" applyFill="1" applyBorder="1" applyAlignment="1">
      <alignment horizontal="right"/>
    </xf>
    <xf numFmtId="0" fontId="6" fillId="6" borderId="0" xfId="0" applyFont="1" applyFill="1" applyBorder="1"/>
    <xf numFmtId="0" fontId="6" fillId="6" borderId="0" xfId="0" applyFont="1" applyFill="1" applyBorder="1" applyAlignment="1">
      <alignment horizontal="right"/>
    </xf>
    <xf numFmtId="0" fontId="6" fillId="6" borderId="10" xfId="0" applyFont="1" applyFill="1" applyBorder="1"/>
    <xf numFmtId="0" fontId="6" fillId="6" borderId="10" xfId="0" applyFont="1" applyFill="1" applyBorder="1" applyAlignment="1">
      <alignment horizontal="right"/>
    </xf>
    <xf numFmtId="6" fontId="5" fillId="5" borderId="0" xfId="0" applyNumberFormat="1" applyFont="1" applyFill="1" applyAlignment="1">
      <alignment horizontal="center"/>
    </xf>
    <xf numFmtId="6" fontId="0" fillId="0" borderId="0" xfId="0" applyNumberFormat="1"/>
    <xf numFmtId="6" fontId="6" fillId="6" borderId="9" xfId="0" applyNumberFormat="1" applyFont="1" applyFill="1" applyBorder="1"/>
    <xf numFmtId="6" fontId="6" fillId="6" borderId="0" xfId="0" applyNumberFormat="1" applyFont="1" applyFill="1" applyBorder="1"/>
    <xf numFmtId="6" fontId="6" fillId="6" borderId="10" xfId="0" applyNumberFormat="1" applyFont="1" applyFill="1" applyBorder="1"/>
    <xf numFmtId="165" fontId="5" fillId="5" borderId="0" xfId="0" applyNumberFormat="1" applyFont="1" applyFill="1" applyAlignment="1">
      <alignment horizontal="center"/>
    </xf>
    <xf numFmtId="165" fontId="0" fillId="0" borderId="0" xfId="0" applyNumberFormat="1"/>
    <xf numFmtId="165" fontId="6" fillId="6" borderId="9" xfId="0" applyNumberFormat="1" applyFont="1" applyFill="1" applyBorder="1"/>
    <xf numFmtId="165" fontId="6" fillId="6" borderId="0" xfId="0" applyNumberFormat="1" applyFont="1" applyFill="1" applyBorder="1"/>
    <xf numFmtId="165" fontId="6" fillId="6" borderId="10" xfId="0" applyNumberFormat="1" applyFont="1" applyFill="1" applyBorder="1"/>
    <xf numFmtId="166" fontId="5" fillId="5" borderId="0" xfId="0" applyNumberFormat="1" applyFont="1" applyFill="1" applyAlignment="1">
      <alignment horizontal="center"/>
    </xf>
    <xf numFmtId="166" fontId="0" fillId="0" borderId="0" xfId="0" applyNumberFormat="1"/>
    <xf numFmtId="166" fontId="6" fillId="6" borderId="9" xfId="0" applyNumberFormat="1" applyFont="1" applyFill="1" applyBorder="1"/>
    <xf numFmtId="166" fontId="6" fillId="6" borderId="0" xfId="0" applyNumberFormat="1" applyFont="1" applyFill="1" applyBorder="1"/>
    <xf numFmtId="166" fontId="6" fillId="6" borderId="10" xfId="0" applyNumberFormat="1" applyFont="1" applyFill="1" applyBorder="1"/>
    <xf numFmtId="167" fontId="5" fillId="5" borderId="0" xfId="0" applyNumberFormat="1" applyFont="1" applyFill="1" applyAlignment="1">
      <alignment horizontal="center"/>
    </xf>
    <xf numFmtId="167" fontId="0" fillId="0" borderId="0" xfId="0" applyNumberFormat="1"/>
    <xf numFmtId="167" fontId="6" fillId="6" borderId="9" xfId="0" applyNumberFormat="1" applyFont="1" applyFill="1" applyBorder="1"/>
    <xf numFmtId="167" fontId="6" fillId="6" borderId="0" xfId="0" applyNumberFormat="1" applyFont="1" applyFill="1" applyBorder="1"/>
    <xf numFmtId="168" fontId="5" fillId="5" borderId="0" xfId="0" applyNumberFormat="1" applyFont="1" applyFill="1" applyAlignment="1">
      <alignment horizontal="center"/>
    </xf>
    <xf numFmtId="168" fontId="0" fillId="0" borderId="0" xfId="0" applyNumberFormat="1"/>
    <xf numFmtId="168" fontId="6" fillId="6" borderId="9" xfId="0" applyNumberFormat="1" applyFont="1" applyFill="1" applyBorder="1"/>
    <xf numFmtId="168" fontId="6" fillId="6" borderId="0" xfId="0" applyNumberFormat="1" applyFont="1" applyFill="1" applyBorder="1"/>
    <xf numFmtId="168" fontId="6" fillId="6" borderId="10" xfId="0" applyNumberFormat="1" applyFont="1" applyFill="1" applyBorder="1"/>
    <xf numFmtId="40" fontId="5" fillId="5" borderId="0" xfId="0" applyNumberFormat="1" applyFont="1" applyFill="1" applyAlignment="1">
      <alignment horizontal="center"/>
    </xf>
    <xf numFmtId="40" fontId="0" fillId="0" borderId="0" xfId="0" applyNumberFormat="1"/>
    <xf numFmtId="40" fontId="6" fillId="6" borderId="9" xfId="0" applyNumberFormat="1" applyFont="1" applyFill="1" applyBorder="1"/>
    <xf numFmtId="40" fontId="6" fillId="6" borderId="0" xfId="0" applyNumberFormat="1" applyFont="1" applyFill="1" applyBorder="1"/>
    <xf numFmtId="40" fontId="6" fillId="6" borderId="10" xfId="0" applyNumberFormat="1" applyFont="1" applyFill="1" applyBorder="1"/>
    <xf numFmtId="8" fontId="5" fillId="5" borderId="0" xfId="0" applyNumberFormat="1" applyFont="1" applyFill="1" applyAlignment="1">
      <alignment horizontal="center"/>
    </xf>
    <xf numFmtId="8" fontId="0" fillId="0" borderId="0" xfId="0" applyNumberFormat="1"/>
    <xf numFmtId="8" fontId="6" fillId="6" borderId="0" xfId="0" applyNumberFormat="1" applyFont="1" applyFill="1" applyBorder="1"/>
    <xf numFmtId="8" fontId="6" fillId="6" borderId="10" xfId="0" applyNumberFormat="1" applyFont="1" applyFill="1" applyBorder="1"/>
    <xf numFmtId="169" fontId="6" fillId="6" borderId="10" xfId="0" applyNumberFormat="1" applyFont="1" applyFill="1" applyBorder="1"/>
    <xf numFmtId="0" fontId="0" fillId="7" borderId="10" xfId="0" applyFill="1" applyBorder="1" applyAlignment="1">
      <alignment horizontal="center"/>
    </xf>
    <xf numFmtId="0" fontId="0" fillId="0" borderId="0" xfId="0"/>
    <xf numFmtId="0" fontId="5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5" borderId="0" xfId="0" applyFont="1" applyFill="1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6" fillId="6" borderId="9" xfId="0" applyFont="1" applyFill="1" applyBorder="1"/>
    <xf numFmtId="0" fontId="6" fillId="6" borderId="9" xfId="0" applyFont="1" applyFill="1" applyBorder="1" applyAlignment="1">
      <alignment horizontal="right"/>
    </xf>
    <xf numFmtId="0" fontId="6" fillId="6" borderId="0" xfId="0" applyFont="1" applyFill="1" applyBorder="1"/>
    <xf numFmtId="0" fontId="6" fillId="6" borderId="0" xfId="0" applyFont="1" applyFill="1" applyBorder="1" applyAlignment="1">
      <alignment horizontal="right"/>
    </xf>
    <xf numFmtId="0" fontId="6" fillId="6" borderId="10" xfId="0" applyFont="1" applyFill="1" applyBorder="1"/>
    <xf numFmtId="0" fontId="6" fillId="6" borderId="10" xfId="0" applyFont="1" applyFill="1" applyBorder="1" applyAlignment="1">
      <alignment horizontal="right"/>
    </xf>
    <xf numFmtId="6" fontId="5" fillId="5" borderId="0" xfId="0" applyNumberFormat="1" applyFont="1" applyFill="1" applyAlignment="1">
      <alignment horizontal="center"/>
    </xf>
    <xf numFmtId="6" fontId="0" fillId="0" borderId="0" xfId="0" applyNumberFormat="1"/>
    <xf numFmtId="6" fontId="6" fillId="6" borderId="9" xfId="0" applyNumberFormat="1" applyFont="1" applyFill="1" applyBorder="1"/>
    <xf numFmtId="6" fontId="6" fillId="6" borderId="0" xfId="0" applyNumberFormat="1" applyFont="1" applyFill="1" applyBorder="1"/>
    <xf numFmtId="6" fontId="6" fillId="6" borderId="10" xfId="0" applyNumberFormat="1" applyFont="1" applyFill="1" applyBorder="1"/>
    <xf numFmtId="165" fontId="5" fillId="5" borderId="0" xfId="0" applyNumberFormat="1" applyFont="1" applyFill="1" applyAlignment="1">
      <alignment horizontal="center"/>
    </xf>
    <xf numFmtId="165" fontId="0" fillId="0" borderId="0" xfId="0" applyNumberFormat="1"/>
    <xf numFmtId="165" fontId="6" fillId="6" borderId="9" xfId="0" applyNumberFormat="1" applyFont="1" applyFill="1" applyBorder="1"/>
    <xf numFmtId="165" fontId="6" fillId="6" borderId="0" xfId="0" applyNumberFormat="1" applyFont="1" applyFill="1" applyBorder="1"/>
    <xf numFmtId="165" fontId="6" fillId="6" borderId="10" xfId="0" applyNumberFormat="1" applyFont="1" applyFill="1" applyBorder="1"/>
    <xf numFmtId="166" fontId="5" fillId="5" borderId="0" xfId="0" applyNumberFormat="1" applyFont="1" applyFill="1" applyAlignment="1">
      <alignment horizontal="center"/>
    </xf>
    <xf numFmtId="166" fontId="0" fillId="0" borderId="0" xfId="0" applyNumberFormat="1"/>
    <xf numFmtId="166" fontId="6" fillId="6" borderId="9" xfId="0" applyNumberFormat="1" applyFont="1" applyFill="1" applyBorder="1"/>
    <xf numFmtId="166" fontId="6" fillId="6" borderId="0" xfId="0" applyNumberFormat="1" applyFont="1" applyFill="1" applyBorder="1"/>
    <xf numFmtId="166" fontId="6" fillId="6" borderId="10" xfId="0" applyNumberFormat="1" applyFont="1" applyFill="1" applyBorder="1"/>
    <xf numFmtId="167" fontId="5" fillId="5" borderId="0" xfId="0" applyNumberFormat="1" applyFont="1" applyFill="1" applyAlignment="1">
      <alignment horizontal="center"/>
    </xf>
    <xf numFmtId="167" fontId="0" fillId="0" borderId="0" xfId="0" applyNumberFormat="1"/>
    <xf numFmtId="167" fontId="6" fillId="6" borderId="9" xfId="0" applyNumberFormat="1" applyFont="1" applyFill="1" applyBorder="1"/>
    <xf numFmtId="167" fontId="6" fillId="6" borderId="0" xfId="0" applyNumberFormat="1" applyFont="1" applyFill="1" applyBorder="1"/>
    <xf numFmtId="168" fontId="5" fillId="5" borderId="0" xfId="0" applyNumberFormat="1" applyFont="1" applyFill="1" applyAlignment="1">
      <alignment horizontal="center"/>
    </xf>
    <xf numFmtId="168" fontId="0" fillId="0" borderId="0" xfId="0" applyNumberFormat="1"/>
    <xf numFmtId="168" fontId="6" fillId="6" borderId="9" xfId="0" applyNumberFormat="1" applyFont="1" applyFill="1" applyBorder="1"/>
    <xf numFmtId="168" fontId="6" fillId="6" borderId="0" xfId="0" applyNumberFormat="1" applyFont="1" applyFill="1" applyBorder="1"/>
    <xf numFmtId="168" fontId="6" fillId="6" borderId="10" xfId="0" applyNumberFormat="1" applyFont="1" applyFill="1" applyBorder="1"/>
    <xf numFmtId="40" fontId="5" fillId="5" borderId="0" xfId="0" applyNumberFormat="1" applyFont="1" applyFill="1" applyAlignment="1">
      <alignment horizontal="center"/>
    </xf>
    <xf numFmtId="40" fontId="0" fillId="0" borderId="0" xfId="0" applyNumberFormat="1"/>
    <xf numFmtId="40" fontId="6" fillId="6" borderId="9" xfId="0" applyNumberFormat="1" applyFont="1" applyFill="1" applyBorder="1"/>
    <xf numFmtId="40" fontId="6" fillId="6" borderId="0" xfId="0" applyNumberFormat="1" applyFont="1" applyFill="1" applyBorder="1"/>
    <xf numFmtId="40" fontId="6" fillId="6" borderId="10" xfId="0" applyNumberFormat="1" applyFont="1" applyFill="1" applyBorder="1"/>
    <xf numFmtId="8" fontId="5" fillId="5" borderId="0" xfId="0" applyNumberFormat="1" applyFont="1" applyFill="1" applyAlignment="1">
      <alignment horizontal="center"/>
    </xf>
    <xf numFmtId="8" fontId="0" fillId="0" borderId="0" xfId="0" applyNumberFormat="1"/>
    <xf numFmtId="8" fontId="6" fillId="6" borderId="9" xfId="0" applyNumberFormat="1" applyFont="1" applyFill="1" applyBorder="1"/>
    <xf numFmtId="8" fontId="6" fillId="6" borderId="0" xfId="0" applyNumberFormat="1" applyFont="1" applyFill="1" applyBorder="1"/>
    <xf numFmtId="8" fontId="6" fillId="6" borderId="10" xfId="0" applyNumberFormat="1" applyFont="1" applyFill="1" applyBorder="1"/>
    <xf numFmtId="169" fontId="6" fillId="6" borderId="10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437B2-1DDE-413F-9DD3-8838424AE2B4}">
  <dimension ref="A1:J29"/>
  <sheetViews>
    <sheetView tabSelected="1" workbookViewId="0">
      <selection activeCell="M44" sqref="M44"/>
    </sheetView>
  </sheetViews>
  <sheetFormatPr defaultRowHeight="15" x14ac:dyDescent="0.25"/>
  <cols>
    <col min="2" max="2" width="20.5703125" bestFit="1" customWidth="1"/>
    <col min="3" max="3" width="19.85546875" customWidth="1"/>
    <col min="4" max="5" width="15.140625" customWidth="1"/>
    <col min="6" max="6" width="34.42578125" customWidth="1"/>
    <col min="9" max="9" width="2.42578125" customWidth="1"/>
    <col min="10" max="10" width="14.85546875" bestFit="1" customWidth="1"/>
  </cols>
  <sheetData>
    <row r="1" spans="1:10" ht="15.75" thickBot="1" x14ac:dyDescent="0.3">
      <c r="A1" s="121" t="s">
        <v>0</v>
      </c>
      <c r="B1" s="122"/>
      <c r="C1" s="122"/>
      <c r="D1" s="122"/>
      <c r="E1" s="122"/>
      <c r="F1" s="122"/>
      <c r="G1" s="123"/>
    </row>
    <row r="2" spans="1:10" x14ac:dyDescent="0.25">
      <c r="A2" s="120" t="s">
        <v>30</v>
      </c>
      <c r="B2" s="120"/>
      <c r="C2" s="120"/>
      <c r="D2" s="120"/>
      <c r="E2" s="120"/>
      <c r="F2" s="120"/>
      <c r="G2" s="120"/>
    </row>
    <row r="3" spans="1:10" s="4" customFormat="1" x14ac:dyDescent="0.25">
      <c r="A3" s="4" t="s">
        <v>4</v>
      </c>
      <c r="B3" s="4" t="s">
        <v>5</v>
      </c>
      <c r="C3" s="4" t="s">
        <v>22</v>
      </c>
      <c r="D3" s="4" t="s">
        <v>26</v>
      </c>
      <c r="E3" s="4" t="s">
        <v>29</v>
      </c>
      <c r="F3" s="4" t="s">
        <v>21</v>
      </c>
      <c r="G3" s="4" t="s">
        <v>36</v>
      </c>
      <c r="H3" s="151">
        <v>2022</v>
      </c>
      <c r="J3" s="4">
        <v>2023</v>
      </c>
    </row>
    <row r="4" spans="1:10" x14ac:dyDescent="0.25">
      <c r="A4" s="1">
        <v>1011</v>
      </c>
      <c r="B4" t="s">
        <v>6</v>
      </c>
      <c r="C4" s="1" t="s">
        <v>23</v>
      </c>
      <c r="D4" s="1">
        <v>138</v>
      </c>
      <c r="E4" s="1"/>
      <c r="G4" t="s">
        <v>37</v>
      </c>
      <c r="H4" t="s">
        <v>40</v>
      </c>
    </row>
    <row r="5" spans="1:10" x14ac:dyDescent="0.25">
      <c r="A5" s="1">
        <v>1012</v>
      </c>
      <c r="B5" t="s">
        <v>7</v>
      </c>
      <c r="C5" s="1" t="s">
        <v>23</v>
      </c>
      <c r="D5" s="1">
        <v>76</v>
      </c>
      <c r="E5" s="1"/>
      <c r="G5" t="s">
        <v>37</v>
      </c>
    </row>
    <row r="6" spans="1:10" x14ac:dyDescent="0.25">
      <c r="A6" s="113">
        <v>201</v>
      </c>
      <c r="B6" s="114" t="s">
        <v>8</v>
      </c>
      <c r="C6" s="113" t="s">
        <v>23</v>
      </c>
      <c r="D6" s="113">
        <v>133</v>
      </c>
      <c r="E6" s="113"/>
      <c r="F6" s="114"/>
      <c r="G6" s="114" t="s">
        <v>38</v>
      </c>
    </row>
    <row r="7" spans="1:10" x14ac:dyDescent="0.25">
      <c r="A7" s="1" t="s">
        <v>1</v>
      </c>
      <c r="B7" t="s">
        <v>13</v>
      </c>
      <c r="C7" s="1"/>
      <c r="D7" s="1"/>
      <c r="E7" s="1"/>
      <c r="G7" t="s">
        <v>37</v>
      </c>
    </row>
    <row r="8" spans="1:10" x14ac:dyDescent="0.25">
      <c r="A8" s="1" t="s">
        <v>2</v>
      </c>
      <c r="B8" t="s">
        <v>14</v>
      </c>
      <c r="C8" s="1"/>
      <c r="D8" s="1"/>
      <c r="E8" s="1"/>
      <c r="G8" t="s">
        <v>37</v>
      </c>
    </row>
    <row r="10" spans="1:10" x14ac:dyDescent="0.25">
      <c r="A10" s="124" t="s">
        <v>31</v>
      </c>
      <c r="B10" s="124"/>
      <c r="C10" s="124"/>
      <c r="D10" s="124"/>
      <c r="E10" s="124"/>
      <c r="F10" s="124"/>
      <c r="G10" s="124"/>
    </row>
    <row r="11" spans="1:10" s="4" customFormat="1" x14ac:dyDescent="0.25">
      <c r="A11" s="4" t="s">
        <v>4</v>
      </c>
      <c r="B11" s="4" t="s">
        <v>5</v>
      </c>
      <c r="C11" s="4" t="s">
        <v>22</v>
      </c>
      <c r="D11" s="4" t="s">
        <v>26</v>
      </c>
      <c r="E11" s="4" t="s">
        <v>29</v>
      </c>
      <c r="F11" s="4" t="s">
        <v>21</v>
      </c>
    </row>
    <row r="12" spans="1:10" x14ac:dyDescent="0.25">
      <c r="J12" s="1"/>
    </row>
    <row r="13" spans="1:10" x14ac:dyDescent="0.25">
      <c r="A13" s="1">
        <v>275</v>
      </c>
      <c r="B13" t="s">
        <v>10</v>
      </c>
      <c r="C13" s="1">
        <v>1996</v>
      </c>
      <c r="D13" s="1">
        <v>19</v>
      </c>
      <c r="E13" s="1">
        <v>1</v>
      </c>
      <c r="G13" s="1" t="s">
        <v>39</v>
      </c>
      <c r="H13" s="145">
        <v>30000</v>
      </c>
      <c r="J13" s="152">
        <v>43000</v>
      </c>
    </row>
    <row r="14" spans="1:10" x14ac:dyDescent="0.25">
      <c r="A14" s="2">
        <v>276</v>
      </c>
      <c r="B14" s="3" t="s">
        <v>25</v>
      </c>
      <c r="C14" s="2">
        <v>1998</v>
      </c>
      <c r="D14" s="2">
        <v>10</v>
      </c>
      <c r="E14" s="2">
        <v>1</v>
      </c>
      <c r="G14" s="1"/>
      <c r="H14" s="146"/>
      <c r="J14" s="1"/>
    </row>
    <row r="15" spans="1:10" x14ac:dyDescent="0.25">
      <c r="A15" s="2">
        <v>277</v>
      </c>
      <c r="B15" s="3" t="s">
        <v>27</v>
      </c>
      <c r="C15" s="2">
        <v>1998</v>
      </c>
      <c r="D15" s="2">
        <v>6</v>
      </c>
      <c r="E15" s="2">
        <v>1</v>
      </c>
      <c r="G15" s="1"/>
      <c r="H15" s="146"/>
      <c r="J15" s="1"/>
    </row>
    <row r="16" spans="1:10" x14ac:dyDescent="0.25">
      <c r="A16" s="2">
        <v>290</v>
      </c>
      <c r="B16" s="3" t="s">
        <v>28</v>
      </c>
      <c r="C16" s="2">
        <v>2000</v>
      </c>
      <c r="D16" s="2">
        <v>18</v>
      </c>
      <c r="E16" s="2">
        <v>1</v>
      </c>
      <c r="G16" s="1"/>
      <c r="H16" s="146"/>
      <c r="J16" s="1"/>
    </row>
    <row r="17" spans="1:10" x14ac:dyDescent="0.25">
      <c r="A17" s="1">
        <v>555</v>
      </c>
      <c r="B17" t="s">
        <v>16</v>
      </c>
      <c r="C17" s="1">
        <v>2004</v>
      </c>
      <c r="D17" s="1">
        <v>29</v>
      </c>
      <c r="E17" s="1">
        <v>1</v>
      </c>
      <c r="G17" s="1" t="s">
        <v>39</v>
      </c>
      <c r="H17" s="145">
        <v>41500</v>
      </c>
      <c r="J17" s="152">
        <v>43000</v>
      </c>
    </row>
    <row r="18" spans="1:10" x14ac:dyDescent="0.25">
      <c r="A18" s="1">
        <v>575</v>
      </c>
      <c r="B18" t="s">
        <v>18</v>
      </c>
      <c r="C18" s="1">
        <v>1999</v>
      </c>
      <c r="D18" s="1">
        <v>53</v>
      </c>
      <c r="E18" s="1">
        <v>7</v>
      </c>
      <c r="F18" t="s">
        <v>32</v>
      </c>
      <c r="G18" s="1" t="s">
        <v>39</v>
      </c>
      <c r="H18" s="145">
        <v>41500</v>
      </c>
      <c r="J18" s="152">
        <v>43000</v>
      </c>
    </row>
    <row r="19" spans="1:10" x14ac:dyDescent="0.25">
      <c r="A19" s="125"/>
      <c r="B19" s="126"/>
      <c r="C19" s="126"/>
      <c r="D19" s="126"/>
      <c r="E19" s="126"/>
      <c r="F19" s="127"/>
      <c r="G19" s="1"/>
      <c r="H19" s="146"/>
      <c r="J19" s="1"/>
    </row>
    <row r="20" spans="1:10" x14ac:dyDescent="0.25">
      <c r="A20" s="1">
        <v>250</v>
      </c>
      <c r="B20" t="s">
        <v>9</v>
      </c>
      <c r="C20" s="1">
        <v>1996</v>
      </c>
      <c r="D20" s="1">
        <v>22</v>
      </c>
      <c r="E20" s="1">
        <v>1</v>
      </c>
      <c r="F20" t="s">
        <v>24</v>
      </c>
      <c r="G20" s="1" t="s">
        <v>39</v>
      </c>
      <c r="H20" s="145">
        <v>17000</v>
      </c>
      <c r="J20" s="152">
        <v>15500</v>
      </c>
    </row>
    <row r="21" spans="1:10" x14ac:dyDescent="0.25">
      <c r="A21" s="117"/>
      <c r="B21" s="118"/>
      <c r="C21" s="118"/>
      <c r="D21" s="118"/>
      <c r="E21" s="118"/>
      <c r="F21" s="119"/>
      <c r="G21" s="1"/>
      <c r="H21" s="146"/>
      <c r="J21" s="1"/>
    </row>
    <row r="22" spans="1:10" x14ac:dyDescent="0.25">
      <c r="A22" s="1">
        <v>300</v>
      </c>
      <c r="B22" t="s">
        <v>12</v>
      </c>
      <c r="C22" s="1">
        <v>2001</v>
      </c>
      <c r="D22" s="1">
        <v>16</v>
      </c>
      <c r="E22" s="1">
        <v>19</v>
      </c>
      <c r="G22" s="1" t="s">
        <v>39</v>
      </c>
      <c r="H22" s="145">
        <v>41500</v>
      </c>
      <c r="J22" s="152">
        <v>35600</v>
      </c>
    </row>
    <row r="23" spans="1:10" x14ac:dyDescent="0.25">
      <c r="A23" s="1">
        <v>295</v>
      </c>
      <c r="B23" t="s">
        <v>11</v>
      </c>
      <c r="C23" s="1">
        <v>2005</v>
      </c>
      <c r="D23" s="1">
        <v>11</v>
      </c>
      <c r="E23" s="1">
        <v>12</v>
      </c>
      <c r="G23" s="1" t="s">
        <v>39</v>
      </c>
      <c r="H23" s="145">
        <v>41500</v>
      </c>
      <c r="J23" s="152">
        <v>35600</v>
      </c>
    </row>
    <row r="24" spans="1:10" ht="45" x14ac:dyDescent="0.25">
      <c r="A24" s="7" t="s">
        <v>3</v>
      </c>
      <c r="B24" s="8" t="s">
        <v>20</v>
      </c>
      <c r="C24" s="7" t="s">
        <v>33</v>
      </c>
      <c r="D24" s="7">
        <v>19</v>
      </c>
      <c r="E24" s="7">
        <v>12</v>
      </c>
      <c r="F24" s="5" t="s">
        <v>34</v>
      </c>
      <c r="G24" s="7" t="s">
        <v>39</v>
      </c>
      <c r="H24" s="147">
        <v>41500</v>
      </c>
      <c r="J24" s="7" t="s">
        <v>582</v>
      </c>
    </row>
    <row r="25" spans="1:10" x14ac:dyDescent="0.25">
      <c r="A25" s="117"/>
      <c r="B25" s="118"/>
      <c r="C25" s="118"/>
      <c r="D25" s="118"/>
      <c r="E25" s="118"/>
      <c r="F25" s="119"/>
      <c r="G25" s="1"/>
      <c r="H25" s="146"/>
      <c r="J25" s="1"/>
    </row>
    <row r="26" spans="1:10" x14ac:dyDescent="0.25">
      <c r="A26" s="1">
        <v>560</v>
      </c>
      <c r="B26" t="s">
        <v>17</v>
      </c>
      <c r="C26" s="1">
        <v>2003</v>
      </c>
      <c r="D26" s="1">
        <v>28</v>
      </c>
      <c r="E26" s="1">
        <v>33</v>
      </c>
      <c r="G26" s="1" t="s">
        <v>39</v>
      </c>
      <c r="H26" s="145">
        <v>30000</v>
      </c>
      <c r="J26" s="152">
        <v>34900</v>
      </c>
    </row>
    <row r="27" spans="1:10" ht="45" x14ac:dyDescent="0.25">
      <c r="A27" s="7">
        <v>700</v>
      </c>
      <c r="B27" s="8" t="s">
        <v>19</v>
      </c>
      <c r="C27" s="7">
        <v>1996</v>
      </c>
      <c r="D27" s="7">
        <v>30</v>
      </c>
      <c r="E27" s="7">
        <v>1</v>
      </c>
      <c r="F27" s="5" t="s">
        <v>35</v>
      </c>
      <c r="G27" s="1" t="s">
        <v>39</v>
      </c>
      <c r="H27" s="145">
        <v>30000</v>
      </c>
      <c r="J27" s="153">
        <v>34900</v>
      </c>
    </row>
    <row r="28" spans="1:10" x14ac:dyDescent="0.25">
      <c r="A28" s="1">
        <v>500</v>
      </c>
      <c r="B28" t="s">
        <v>15</v>
      </c>
      <c r="C28" s="1">
        <v>1990</v>
      </c>
      <c r="D28" s="1">
        <v>31</v>
      </c>
      <c r="E28" s="1">
        <v>19</v>
      </c>
      <c r="G28" s="1" t="s">
        <v>39</v>
      </c>
      <c r="H28" s="145">
        <v>21000</v>
      </c>
      <c r="J28" s="152">
        <v>34900</v>
      </c>
    </row>
    <row r="29" spans="1:10" x14ac:dyDescent="0.25">
      <c r="A29" s="148"/>
      <c r="B29" s="149"/>
      <c r="C29" s="149"/>
      <c r="D29" s="149"/>
      <c r="E29" s="149"/>
      <c r="F29" s="150"/>
    </row>
  </sheetData>
  <mergeCells count="6">
    <mergeCell ref="A25:F25"/>
    <mergeCell ref="A2:G2"/>
    <mergeCell ref="A1:G1"/>
    <mergeCell ref="A10:G10"/>
    <mergeCell ref="A19:F19"/>
    <mergeCell ref="A21:F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3B46E-2A03-4FFE-A8EA-8363305786CD}">
  <dimension ref="A1:BB17"/>
  <sheetViews>
    <sheetView workbookViewId="0">
      <selection activeCell="N53" sqref="N53"/>
    </sheetView>
  </sheetViews>
  <sheetFormatPr defaultRowHeight="15" x14ac:dyDescent="0.25"/>
  <cols>
    <col min="1" max="1" width="14.28515625" bestFit="1" customWidth="1"/>
    <col min="2" max="2" width="22.140625" bestFit="1" customWidth="1"/>
    <col min="3" max="3" width="9.28515625" bestFit="1" customWidth="1"/>
    <col min="4" max="4" width="10.85546875" bestFit="1" customWidth="1"/>
    <col min="5" max="5" width="5.5703125" bestFit="1" customWidth="1"/>
    <col min="6" max="6" width="16.7109375" bestFit="1" customWidth="1"/>
    <col min="7" max="7" width="10.85546875" bestFit="1" customWidth="1"/>
    <col min="8" max="8" width="14.7109375" bestFit="1" customWidth="1"/>
    <col min="9" max="9" width="12.85546875" bestFit="1" customWidth="1"/>
    <col min="10" max="10" width="13.28515625" bestFit="1" customWidth="1"/>
    <col min="11" max="11" width="14.42578125" bestFit="1" customWidth="1"/>
    <col min="12" max="12" width="11.140625" bestFit="1" customWidth="1"/>
    <col min="13" max="13" width="6.42578125" bestFit="1" customWidth="1"/>
    <col min="14" max="14" width="14.28515625" bestFit="1" customWidth="1"/>
    <col min="15" max="15" width="10.7109375" bestFit="1" customWidth="1"/>
    <col min="16" max="16" width="10" bestFit="1" customWidth="1"/>
    <col min="17" max="17" width="11.85546875" bestFit="1" customWidth="1"/>
    <col min="18" max="18" width="11.7109375" bestFit="1" customWidth="1"/>
    <col min="19" max="19" width="8.7109375" bestFit="1" customWidth="1"/>
    <col min="20" max="20" width="10.5703125" bestFit="1" customWidth="1"/>
    <col min="21" max="21" width="15" bestFit="1" customWidth="1"/>
    <col min="22" max="22" width="12.42578125" bestFit="1" customWidth="1"/>
  </cols>
  <sheetData>
    <row r="1" spans="1:54" x14ac:dyDescent="0.25">
      <c r="A1" s="191" t="s">
        <v>52</v>
      </c>
      <c r="B1" s="191" t="s">
        <v>53</v>
      </c>
      <c r="C1" s="212" t="s">
        <v>54</v>
      </c>
      <c r="D1" s="202" t="s">
        <v>55</v>
      </c>
      <c r="E1" s="191" t="s">
        <v>56</v>
      </c>
      <c r="F1" s="191" t="s">
        <v>57</v>
      </c>
      <c r="G1" s="202" t="s">
        <v>58</v>
      </c>
      <c r="H1" s="202" t="s">
        <v>59</v>
      </c>
      <c r="I1" s="207" t="s">
        <v>60</v>
      </c>
      <c r="J1" s="202" t="s">
        <v>62</v>
      </c>
      <c r="K1" s="217" t="s">
        <v>64</v>
      </c>
      <c r="L1" s="221" t="s">
        <v>65</v>
      </c>
      <c r="M1" s="226" t="s">
        <v>66</v>
      </c>
      <c r="N1" s="226" t="s">
        <v>67</v>
      </c>
      <c r="O1" s="202" t="s">
        <v>69</v>
      </c>
      <c r="P1" s="231" t="s">
        <v>70</v>
      </c>
      <c r="Q1" s="193" t="s">
        <v>72</v>
      </c>
      <c r="R1" s="191" t="s">
        <v>73</v>
      </c>
      <c r="S1" s="191" t="s">
        <v>74</v>
      </c>
      <c r="T1" s="191" t="s">
        <v>75</v>
      </c>
      <c r="U1" s="191" t="s">
        <v>80</v>
      </c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</row>
    <row r="2" spans="1:54" x14ac:dyDescent="0.25">
      <c r="A2" s="190" t="s">
        <v>465</v>
      </c>
      <c r="B2" s="190" t="s">
        <v>466</v>
      </c>
      <c r="C2" s="213">
        <v>44522</v>
      </c>
      <c r="D2" s="203">
        <v>54900</v>
      </c>
      <c r="E2" s="190" t="s">
        <v>106</v>
      </c>
      <c r="F2" s="190" t="s">
        <v>84</v>
      </c>
      <c r="G2" s="203">
        <v>54900</v>
      </c>
      <c r="H2" s="203">
        <v>20300</v>
      </c>
      <c r="I2" s="208">
        <v>36.97632058287796</v>
      </c>
      <c r="J2" s="203">
        <v>54900</v>
      </c>
      <c r="K2" s="218">
        <v>0</v>
      </c>
      <c r="L2" s="222">
        <v>0</v>
      </c>
      <c r="M2" s="227">
        <v>1.54</v>
      </c>
      <c r="N2" s="227">
        <v>1.54</v>
      </c>
      <c r="O2" s="203">
        <v>35649.35064935065</v>
      </c>
      <c r="P2" s="232">
        <v>0.81839647955350436</v>
      </c>
      <c r="Q2" s="194" t="s">
        <v>467</v>
      </c>
      <c r="R2" s="190"/>
      <c r="S2" s="190"/>
      <c r="T2" s="190" t="s">
        <v>468</v>
      </c>
      <c r="U2" s="195" t="s">
        <v>99</v>
      </c>
      <c r="V2" s="190"/>
      <c r="W2" s="190"/>
      <c r="X2" s="190"/>
      <c r="Y2" s="190"/>
      <c r="Z2" s="192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2"/>
      <c r="AR2" s="190"/>
      <c r="AS2" s="192"/>
      <c r="AT2" s="190"/>
      <c r="AU2" s="190"/>
      <c r="AV2" s="190"/>
      <c r="AW2" s="190"/>
      <c r="AX2" s="190"/>
      <c r="AY2" s="190"/>
      <c r="AZ2" s="190"/>
    </row>
    <row r="3" spans="1:54" x14ac:dyDescent="0.25">
      <c r="A3" s="190" t="s">
        <v>591</v>
      </c>
      <c r="B3" s="190" t="s">
        <v>592</v>
      </c>
      <c r="C3" s="213">
        <v>44111</v>
      </c>
      <c r="D3" s="203">
        <v>355000</v>
      </c>
      <c r="E3" s="190" t="s">
        <v>83</v>
      </c>
      <c r="F3" s="190" t="s">
        <v>84</v>
      </c>
      <c r="G3" s="203">
        <v>355000</v>
      </c>
      <c r="H3" s="203">
        <v>184800</v>
      </c>
      <c r="I3" s="208">
        <v>52.056338028169016</v>
      </c>
      <c r="J3" s="203">
        <v>37449</v>
      </c>
      <c r="K3" s="218">
        <v>0</v>
      </c>
      <c r="L3" s="222">
        <v>0</v>
      </c>
      <c r="M3" s="227">
        <v>1.02</v>
      </c>
      <c r="N3" s="227">
        <v>1.02</v>
      </c>
      <c r="O3" s="203">
        <v>36714.705882352944</v>
      </c>
      <c r="P3" s="232">
        <v>0.84285367039377745</v>
      </c>
      <c r="Q3" s="194" t="s">
        <v>469</v>
      </c>
      <c r="R3" s="190" t="s">
        <v>593</v>
      </c>
      <c r="S3" s="190"/>
      <c r="T3" s="190" t="s">
        <v>470</v>
      </c>
      <c r="U3" s="195" t="s">
        <v>96</v>
      </c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</row>
    <row r="4" spans="1:54" x14ac:dyDescent="0.25">
      <c r="A4" s="190" t="s">
        <v>471</v>
      </c>
      <c r="B4" s="190" t="s">
        <v>472</v>
      </c>
      <c r="C4" s="213">
        <v>44083</v>
      </c>
      <c r="D4" s="203">
        <v>30000</v>
      </c>
      <c r="E4" s="190" t="s">
        <v>83</v>
      </c>
      <c r="F4" s="190" t="s">
        <v>84</v>
      </c>
      <c r="G4" s="203">
        <v>30000</v>
      </c>
      <c r="H4" s="203">
        <v>15500</v>
      </c>
      <c r="I4" s="208">
        <v>51.666666666666671</v>
      </c>
      <c r="J4" s="203">
        <v>30000</v>
      </c>
      <c r="K4" s="218">
        <v>0</v>
      </c>
      <c r="L4" s="222">
        <v>0</v>
      </c>
      <c r="M4" s="227">
        <v>1</v>
      </c>
      <c r="N4" s="227">
        <v>1</v>
      </c>
      <c r="O4" s="203">
        <v>30000</v>
      </c>
      <c r="P4" s="232">
        <v>0.68870523415977958</v>
      </c>
      <c r="Q4" s="194" t="s">
        <v>469</v>
      </c>
      <c r="R4" s="190" t="s">
        <v>473</v>
      </c>
      <c r="S4" s="190"/>
      <c r="T4" s="190" t="s">
        <v>470</v>
      </c>
      <c r="U4" s="195" t="s">
        <v>99</v>
      </c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</row>
    <row r="5" spans="1:54" x14ac:dyDescent="0.25">
      <c r="A5" s="190" t="s">
        <v>474</v>
      </c>
      <c r="B5" s="190" t="s">
        <v>475</v>
      </c>
      <c r="C5" s="213">
        <v>44502</v>
      </c>
      <c r="D5" s="203">
        <v>42000</v>
      </c>
      <c r="E5" s="190" t="s">
        <v>106</v>
      </c>
      <c r="F5" s="190" t="s">
        <v>84</v>
      </c>
      <c r="G5" s="203">
        <v>42000</v>
      </c>
      <c r="H5" s="203">
        <v>20300</v>
      </c>
      <c r="I5" s="208">
        <v>48.333333333333336</v>
      </c>
      <c r="J5" s="203">
        <v>42000</v>
      </c>
      <c r="K5" s="218">
        <v>0</v>
      </c>
      <c r="L5" s="222">
        <v>0</v>
      </c>
      <c r="M5" s="227">
        <v>1.01</v>
      </c>
      <c r="N5" s="227">
        <v>1.01</v>
      </c>
      <c r="O5" s="203">
        <v>41584.158415841586</v>
      </c>
      <c r="P5" s="232">
        <v>0.95464091863731837</v>
      </c>
      <c r="Q5" s="194" t="s">
        <v>469</v>
      </c>
      <c r="R5" s="190" t="s">
        <v>476</v>
      </c>
      <c r="S5" s="190"/>
      <c r="T5" s="190" t="s">
        <v>470</v>
      </c>
      <c r="U5" s="195" t="s">
        <v>99</v>
      </c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</row>
    <row r="6" spans="1:54" x14ac:dyDescent="0.25">
      <c r="A6" s="190" t="s">
        <v>480</v>
      </c>
      <c r="B6" s="190" t="s">
        <v>594</v>
      </c>
      <c r="C6" s="213">
        <v>44404</v>
      </c>
      <c r="D6" s="203">
        <v>78000</v>
      </c>
      <c r="E6" s="190" t="s">
        <v>83</v>
      </c>
      <c r="F6" s="190" t="s">
        <v>84</v>
      </c>
      <c r="G6" s="203">
        <v>39000</v>
      </c>
      <c r="H6" s="203">
        <v>20300</v>
      </c>
      <c r="I6" s="208">
        <v>52.051282051282058</v>
      </c>
      <c r="J6" s="203">
        <v>39000</v>
      </c>
      <c r="K6" s="218">
        <v>0</v>
      </c>
      <c r="L6" s="222">
        <v>0</v>
      </c>
      <c r="M6" s="227">
        <v>1.0900000000000001</v>
      </c>
      <c r="N6" s="227">
        <v>1.0900000000000001</v>
      </c>
      <c r="O6" s="203">
        <v>35779.816513761463</v>
      </c>
      <c r="P6" s="232">
        <v>0.82139156367680122</v>
      </c>
      <c r="Q6" s="194" t="s">
        <v>469</v>
      </c>
      <c r="R6" s="190" t="s">
        <v>479</v>
      </c>
      <c r="S6" s="190" t="s">
        <v>477</v>
      </c>
      <c r="T6" s="190" t="s">
        <v>470</v>
      </c>
      <c r="U6" s="195" t="s">
        <v>99</v>
      </c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</row>
    <row r="7" spans="1:54" x14ac:dyDescent="0.25">
      <c r="A7" s="190" t="s">
        <v>477</v>
      </c>
      <c r="B7" s="190" t="s">
        <v>478</v>
      </c>
      <c r="C7" s="213">
        <v>44404</v>
      </c>
      <c r="D7" s="203">
        <v>78000</v>
      </c>
      <c r="E7" s="190" t="s">
        <v>83</v>
      </c>
      <c r="F7" s="190" t="s">
        <v>84</v>
      </c>
      <c r="G7" s="203">
        <v>39000</v>
      </c>
      <c r="H7" s="203">
        <v>20300</v>
      </c>
      <c r="I7" s="208">
        <v>52.051282051282058</v>
      </c>
      <c r="J7" s="203">
        <v>39000</v>
      </c>
      <c r="K7" s="218">
        <v>0</v>
      </c>
      <c r="L7" s="222">
        <v>0</v>
      </c>
      <c r="M7" s="227">
        <v>1.0900000000000001</v>
      </c>
      <c r="N7" s="227">
        <v>1.03</v>
      </c>
      <c r="O7" s="203">
        <v>35779.816513761463</v>
      </c>
      <c r="P7" s="232">
        <v>0.82139156367680122</v>
      </c>
      <c r="Q7" s="194" t="s">
        <v>469</v>
      </c>
      <c r="R7" s="190" t="s">
        <v>479</v>
      </c>
      <c r="S7" s="190" t="s">
        <v>480</v>
      </c>
      <c r="T7" s="190" t="s">
        <v>470</v>
      </c>
      <c r="U7" s="195" t="s">
        <v>99</v>
      </c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</row>
    <row r="8" spans="1:54" x14ac:dyDescent="0.25">
      <c r="A8" s="190" t="s">
        <v>595</v>
      </c>
      <c r="B8" s="190" t="s">
        <v>596</v>
      </c>
      <c r="C8" s="213">
        <v>44518</v>
      </c>
      <c r="D8" s="203">
        <v>41228</v>
      </c>
      <c r="E8" s="190" t="s">
        <v>106</v>
      </c>
      <c r="F8" s="190" t="s">
        <v>84</v>
      </c>
      <c r="G8" s="203">
        <v>41228</v>
      </c>
      <c r="H8" s="203">
        <v>20300</v>
      </c>
      <c r="I8" s="208">
        <v>49.2383816823518</v>
      </c>
      <c r="J8" s="203">
        <v>41228</v>
      </c>
      <c r="K8" s="218">
        <v>0</v>
      </c>
      <c r="L8" s="222">
        <v>0</v>
      </c>
      <c r="M8" s="227">
        <v>1.03</v>
      </c>
      <c r="N8" s="227">
        <v>1.03</v>
      </c>
      <c r="O8" s="203">
        <v>40027.184466019418</v>
      </c>
      <c r="P8" s="232">
        <v>0.91889771501421991</v>
      </c>
      <c r="Q8" s="194" t="s">
        <v>469</v>
      </c>
      <c r="R8" s="190" t="s">
        <v>597</v>
      </c>
      <c r="S8" s="190"/>
      <c r="T8" s="190" t="s">
        <v>470</v>
      </c>
      <c r="U8" s="195" t="s">
        <v>96</v>
      </c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</row>
    <row r="9" spans="1:54" ht="15.75" thickBot="1" x14ac:dyDescent="0.3">
      <c r="A9" s="190" t="s">
        <v>595</v>
      </c>
      <c r="B9" s="190" t="s">
        <v>596</v>
      </c>
      <c r="C9" s="213">
        <v>44368</v>
      </c>
      <c r="D9" s="203">
        <v>30000</v>
      </c>
      <c r="E9" s="190" t="s">
        <v>106</v>
      </c>
      <c r="F9" s="190" t="s">
        <v>84</v>
      </c>
      <c r="G9" s="203">
        <v>30000</v>
      </c>
      <c r="H9" s="203">
        <v>20300</v>
      </c>
      <c r="I9" s="208">
        <v>67.666666666666657</v>
      </c>
      <c r="J9" s="203">
        <v>30000</v>
      </c>
      <c r="K9" s="218">
        <v>0</v>
      </c>
      <c r="L9" s="222">
        <v>0</v>
      </c>
      <c r="M9" s="227">
        <v>1.03</v>
      </c>
      <c r="N9" s="227">
        <v>1.03</v>
      </c>
      <c r="O9" s="203">
        <v>29126.213592233009</v>
      </c>
      <c r="P9" s="232">
        <v>0.66864585840755297</v>
      </c>
      <c r="Q9" s="194" t="s">
        <v>469</v>
      </c>
      <c r="R9" s="190" t="s">
        <v>598</v>
      </c>
      <c r="S9" s="190"/>
      <c r="T9" s="190" t="s">
        <v>470</v>
      </c>
      <c r="U9" s="195" t="s">
        <v>96</v>
      </c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</row>
    <row r="10" spans="1:54" ht="15.75" thickTop="1" x14ac:dyDescent="0.25">
      <c r="A10" s="196"/>
      <c r="B10" s="196"/>
      <c r="C10" s="214" t="s">
        <v>113</v>
      </c>
      <c r="D10" s="204">
        <v>709128</v>
      </c>
      <c r="E10" s="196"/>
      <c r="F10" s="196"/>
      <c r="G10" s="204">
        <v>631128</v>
      </c>
      <c r="H10" s="204">
        <v>322100</v>
      </c>
      <c r="I10" s="209"/>
      <c r="J10" s="204">
        <v>313577</v>
      </c>
      <c r="K10" s="219">
        <v>0</v>
      </c>
      <c r="L10" s="223"/>
      <c r="M10" s="228">
        <v>8.81</v>
      </c>
      <c r="N10" s="228">
        <v>8.75</v>
      </c>
      <c r="O10" s="204"/>
      <c r="P10" s="204"/>
      <c r="Q10" s="228"/>
      <c r="R10" s="197"/>
      <c r="S10" s="196"/>
      <c r="T10" s="196"/>
      <c r="U10" s="196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</row>
    <row r="11" spans="1:54" x14ac:dyDescent="0.25">
      <c r="A11" s="198"/>
      <c r="B11" s="198"/>
      <c r="C11" s="215"/>
      <c r="D11" s="205"/>
      <c r="E11" s="198"/>
      <c r="F11" s="198"/>
      <c r="G11" s="205"/>
      <c r="H11" s="205" t="s">
        <v>114</v>
      </c>
      <c r="I11" s="210">
        <v>51.035606089414507</v>
      </c>
      <c r="J11" s="205"/>
      <c r="K11" s="205" t="s">
        <v>115</v>
      </c>
      <c r="L11" s="220"/>
      <c r="M11" s="224"/>
      <c r="N11" s="229" t="s">
        <v>115</v>
      </c>
      <c r="O11" s="229"/>
      <c r="P11" s="205"/>
      <c r="Q11" s="233"/>
      <c r="R11" s="229"/>
      <c r="S11" s="199"/>
      <c r="T11" s="198"/>
      <c r="U11" s="198"/>
      <c r="V11" s="198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</row>
    <row r="12" spans="1:54" ht="15.75" thickBot="1" x14ac:dyDescent="0.3">
      <c r="A12" s="200"/>
      <c r="B12" s="200"/>
      <c r="C12" s="216"/>
      <c r="D12" s="206"/>
      <c r="E12" s="200"/>
      <c r="F12" s="200"/>
      <c r="G12" s="206"/>
      <c r="H12" s="206" t="s">
        <v>116</v>
      </c>
      <c r="I12" s="211">
        <v>8.3487049167259038</v>
      </c>
      <c r="J12" s="206"/>
      <c r="K12" s="206" t="s">
        <v>117</v>
      </c>
      <c r="L12" s="235" t="e">
        <v>#DIV/0!</v>
      </c>
      <c r="M12" s="225"/>
      <c r="N12" s="230" t="s">
        <v>118</v>
      </c>
      <c r="O12" s="230">
        <v>35593.303064699205</v>
      </c>
      <c r="P12" s="206"/>
      <c r="Q12" s="234"/>
      <c r="R12" s="230"/>
      <c r="S12" s="201"/>
      <c r="T12" s="200"/>
      <c r="U12" s="200"/>
      <c r="V12" s="20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</row>
    <row r="13" spans="1:54" ht="15.75" thickBot="1" x14ac:dyDescent="0.3">
      <c r="J13" s="112"/>
      <c r="K13" s="9"/>
    </row>
    <row r="14" spans="1:54" x14ac:dyDescent="0.25">
      <c r="A14" s="236">
        <v>2023</v>
      </c>
      <c r="B14" s="236"/>
    </row>
    <row r="15" spans="1:54" x14ac:dyDescent="0.25">
      <c r="A15" s="6" t="s">
        <v>489</v>
      </c>
      <c r="B15" s="154">
        <v>35600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</row>
    <row r="16" spans="1:54" x14ac:dyDescent="0.25">
      <c r="A16" s="6" t="s">
        <v>590</v>
      </c>
      <c r="B16" s="154">
        <v>35600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</row>
    <row r="17" spans="1:3" x14ac:dyDescent="0.25">
      <c r="A17" s="6" t="s">
        <v>488</v>
      </c>
      <c r="B17" s="116" t="s">
        <v>582</v>
      </c>
      <c r="C17" t="s">
        <v>599</v>
      </c>
    </row>
  </sheetData>
  <mergeCells count="1">
    <mergeCell ref="A14:B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1F16F-76E6-4B1B-BC03-9783F54D29CF}">
  <dimension ref="A1:BL18"/>
  <sheetViews>
    <sheetView workbookViewId="0">
      <selection activeCell="A18" sqref="A18"/>
    </sheetView>
  </sheetViews>
  <sheetFormatPr defaultRowHeight="15" x14ac:dyDescent="0.25"/>
  <cols>
    <col min="1" max="1" width="14.28515625" bestFit="1" customWidth="1"/>
    <col min="2" max="2" width="24.140625" bestFit="1" customWidth="1"/>
    <col min="3" max="3" width="9.28515625" bestFit="1" customWidth="1"/>
    <col min="4" max="4" width="10.85546875" bestFit="1" customWidth="1"/>
    <col min="5" max="5" width="5.5703125" bestFit="1" customWidth="1"/>
    <col min="6" max="6" width="16.7109375" bestFit="1" customWidth="1"/>
    <col min="7" max="7" width="10.85546875" bestFit="1" customWidth="1"/>
    <col min="8" max="8" width="14.7109375" bestFit="1" customWidth="1"/>
    <col min="9" max="9" width="12.85546875" bestFit="1" customWidth="1"/>
    <col min="10" max="10" width="13.28515625" bestFit="1" customWidth="1"/>
    <col min="11" max="11" width="11.140625" bestFit="1" customWidth="1"/>
    <col min="12" max="12" width="6.42578125" bestFit="1" customWidth="1"/>
    <col min="13" max="13" width="9.5703125" bestFit="1" customWidth="1"/>
    <col min="14" max="14" width="14.28515625" bestFit="1" customWidth="1"/>
    <col min="15" max="15" width="10" bestFit="1" customWidth="1"/>
    <col min="16" max="16" width="12" bestFit="1" customWidth="1"/>
    <col min="17" max="17" width="11.85546875" bestFit="1" customWidth="1"/>
    <col min="18" max="18" width="11.7109375" bestFit="1" customWidth="1"/>
    <col min="19" max="19" width="8.7109375" bestFit="1" customWidth="1"/>
    <col min="20" max="20" width="10.5703125" bestFit="1" customWidth="1"/>
    <col min="21" max="21" width="19.42578125" bestFit="1" customWidth="1"/>
    <col min="22" max="22" width="16.5703125" bestFit="1" customWidth="1"/>
    <col min="23" max="23" width="6.85546875" bestFit="1" customWidth="1"/>
    <col min="24" max="24" width="6.42578125" bestFit="1" customWidth="1"/>
    <col min="25" max="25" width="15" bestFit="1" customWidth="1"/>
    <col min="26" max="26" width="9.42578125" bestFit="1" customWidth="1"/>
    <col min="27" max="27" width="5.42578125" bestFit="1" customWidth="1"/>
    <col min="28" max="28" width="13.85546875" bestFit="1" customWidth="1"/>
    <col min="29" max="32" width="12.42578125" bestFit="1" customWidth="1"/>
  </cols>
  <sheetData>
    <row r="1" spans="1:64" x14ac:dyDescent="0.25">
      <c r="A1" s="238" t="s">
        <v>52</v>
      </c>
      <c r="B1" s="238" t="s">
        <v>53</v>
      </c>
      <c r="C1" s="260" t="s">
        <v>54</v>
      </c>
      <c r="D1" s="250" t="s">
        <v>55</v>
      </c>
      <c r="E1" s="238" t="s">
        <v>56</v>
      </c>
      <c r="F1" s="238" t="s">
        <v>57</v>
      </c>
      <c r="G1" s="250" t="s">
        <v>58</v>
      </c>
      <c r="H1" s="250" t="s">
        <v>59</v>
      </c>
      <c r="I1" s="255" t="s">
        <v>60</v>
      </c>
      <c r="J1" s="250" t="s">
        <v>62</v>
      </c>
      <c r="K1" s="265" t="s">
        <v>64</v>
      </c>
      <c r="L1" s="269" t="s">
        <v>65</v>
      </c>
      <c r="M1" s="274" t="s">
        <v>66</v>
      </c>
      <c r="N1" s="274" t="s">
        <v>67</v>
      </c>
      <c r="O1" s="250" t="s">
        <v>68</v>
      </c>
      <c r="P1" s="250" t="s">
        <v>69</v>
      </c>
      <c r="Q1" s="279" t="s">
        <v>70</v>
      </c>
      <c r="R1" s="274" t="s">
        <v>71</v>
      </c>
      <c r="S1" s="240" t="s">
        <v>72</v>
      </c>
      <c r="T1" s="238" t="s">
        <v>73</v>
      </c>
      <c r="U1" s="238" t="s">
        <v>74</v>
      </c>
      <c r="V1" s="238" t="s">
        <v>75</v>
      </c>
      <c r="W1" s="238" t="s">
        <v>76</v>
      </c>
      <c r="X1" s="238" t="s">
        <v>77</v>
      </c>
      <c r="Y1" s="238" t="s">
        <v>78</v>
      </c>
      <c r="Z1" s="238" t="s">
        <v>79</v>
      </c>
      <c r="AA1" s="238" t="s">
        <v>80</v>
      </c>
      <c r="AB1" s="238"/>
      <c r="AC1" s="238"/>
      <c r="AD1" s="238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1"/>
      <c r="BL1" s="1"/>
    </row>
    <row r="2" spans="1:64" x14ac:dyDescent="0.25">
      <c r="A2" s="237" t="s">
        <v>513</v>
      </c>
      <c r="B2" s="237" t="s">
        <v>514</v>
      </c>
      <c r="C2" s="261">
        <v>44328</v>
      </c>
      <c r="D2" s="251">
        <v>220000</v>
      </c>
      <c r="E2" s="237" t="s">
        <v>83</v>
      </c>
      <c r="F2" s="237" t="s">
        <v>84</v>
      </c>
      <c r="G2" s="251">
        <v>220000</v>
      </c>
      <c r="H2" s="251">
        <v>79700</v>
      </c>
      <c r="I2" s="256">
        <v>36.227272727272727</v>
      </c>
      <c r="J2" s="251">
        <v>35571</v>
      </c>
      <c r="K2" s="266">
        <v>0</v>
      </c>
      <c r="L2" s="270">
        <v>0</v>
      </c>
      <c r="M2" s="275">
        <v>1</v>
      </c>
      <c r="N2" s="275">
        <v>0</v>
      </c>
      <c r="O2" s="251" t="e">
        <v>#DIV/0!</v>
      </c>
      <c r="P2" s="251">
        <v>35571</v>
      </c>
      <c r="Q2" s="280">
        <v>0.81659779614325068</v>
      </c>
      <c r="R2" s="275">
        <v>0</v>
      </c>
      <c r="S2" s="241" t="s">
        <v>511</v>
      </c>
      <c r="T2" s="237" t="s">
        <v>515</v>
      </c>
      <c r="U2" s="237"/>
      <c r="V2" s="237" t="s">
        <v>512</v>
      </c>
      <c r="W2" s="237">
        <v>0</v>
      </c>
      <c r="X2" s="237">
        <v>0</v>
      </c>
      <c r="Y2" s="242">
        <v>44412</v>
      </c>
      <c r="Z2" s="237"/>
      <c r="AA2" s="243" t="s">
        <v>96</v>
      </c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</row>
    <row r="3" spans="1:64" x14ac:dyDescent="0.25">
      <c r="A3" s="237" t="s">
        <v>516</v>
      </c>
      <c r="B3" s="237" t="s">
        <v>517</v>
      </c>
      <c r="C3" s="261">
        <v>44186</v>
      </c>
      <c r="D3" s="251">
        <v>250900</v>
      </c>
      <c r="E3" s="237" t="s">
        <v>106</v>
      </c>
      <c r="F3" s="237" t="s">
        <v>84</v>
      </c>
      <c r="G3" s="251">
        <v>250900</v>
      </c>
      <c r="H3" s="251">
        <v>91700</v>
      </c>
      <c r="I3" s="256">
        <v>36.548425667596653</v>
      </c>
      <c r="J3" s="251">
        <v>58632</v>
      </c>
      <c r="K3" s="266">
        <v>0</v>
      </c>
      <c r="L3" s="270">
        <v>0</v>
      </c>
      <c r="M3" s="275">
        <v>1</v>
      </c>
      <c r="N3" s="275">
        <v>0</v>
      </c>
      <c r="O3" s="251" t="e">
        <v>#DIV/0!</v>
      </c>
      <c r="P3" s="251">
        <v>58632</v>
      </c>
      <c r="Q3" s="280">
        <v>1.3460055096418733</v>
      </c>
      <c r="R3" s="275">
        <v>0</v>
      </c>
      <c r="S3" s="241" t="s">
        <v>511</v>
      </c>
      <c r="T3" s="237" t="s">
        <v>518</v>
      </c>
      <c r="U3" s="237"/>
      <c r="V3" s="237" t="s">
        <v>512</v>
      </c>
      <c r="W3" s="237">
        <v>0</v>
      </c>
      <c r="X3" s="237">
        <v>0</v>
      </c>
      <c r="Y3" s="237" t="s">
        <v>89</v>
      </c>
      <c r="Z3" s="237"/>
      <c r="AA3" s="243" t="s">
        <v>96</v>
      </c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</row>
    <row r="4" spans="1:64" x14ac:dyDescent="0.25">
      <c r="A4" s="237" t="s">
        <v>491</v>
      </c>
      <c r="B4" s="237" t="s">
        <v>492</v>
      </c>
      <c r="C4" s="261">
        <v>44127</v>
      </c>
      <c r="D4" s="251">
        <v>276000</v>
      </c>
      <c r="E4" s="237" t="s">
        <v>83</v>
      </c>
      <c r="F4" s="237" t="s">
        <v>84</v>
      </c>
      <c r="G4" s="251">
        <v>276000</v>
      </c>
      <c r="H4" s="251">
        <v>99550</v>
      </c>
      <c r="I4" s="256">
        <v>36.068840579710141</v>
      </c>
      <c r="J4" s="251">
        <v>22961</v>
      </c>
      <c r="K4" s="266">
        <v>150</v>
      </c>
      <c r="L4" s="270">
        <v>295</v>
      </c>
      <c r="M4" s="275">
        <v>1</v>
      </c>
      <c r="N4" s="275">
        <v>1.016</v>
      </c>
      <c r="O4" s="251">
        <v>153.07333333333332</v>
      </c>
      <c r="P4" s="251">
        <v>22961</v>
      </c>
      <c r="Q4" s="280">
        <v>0.52711202938475665</v>
      </c>
      <c r="R4" s="275">
        <v>150</v>
      </c>
      <c r="S4" s="241" t="s">
        <v>493</v>
      </c>
      <c r="T4" s="237" t="s">
        <v>494</v>
      </c>
      <c r="U4" s="237"/>
      <c r="V4" s="237" t="s">
        <v>495</v>
      </c>
      <c r="W4" s="237">
        <v>0</v>
      </c>
      <c r="X4" s="237">
        <v>0</v>
      </c>
      <c r="Y4" s="242">
        <v>44508</v>
      </c>
      <c r="Z4" s="237"/>
      <c r="AA4" s="243" t="s">
        <v>96</v>
      </c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</row>
    <row r="5" spans="1:64" x14ac:dyDescent="0.25">
      <c r="A5" s="237" t="s">
        <v>496</v>
      </c>
      <c r="B5" s="237" t="s">
        <v>497</v>
      </c>
      <c r="C5" s="261">
        <v>44022</v>
      </c>
      <c r="D5" s="251">
        <v>265000</v>
      </c>
      <c r="E5" s="237" t="s">
        <v>83</v>
      </c>
      <c r="F5" s="237" t="s">
        <v>84</v>
      </c>
      <c r="G5" s="251">
        <v>265000</v>
      </c>
      <c r="H5" s="251">
        <v>101600</v>
      </c>
      <c r="I5" s="256">
        <v>38.339622641509436</v>
      </c>
      <c r="J5" s="251">
        <v>25371</v>
      </c>
      <c r="K5" s="266">
        <v>150</v>
      </c>
      <c r="L5" s="270">
        <v>295</v>
      </c>
      <c r="M5" s="275">
        <v>1</v>
      </c>
      <c r="N5" s="275">
        <v>1.016</v>
      </c>
      <c r="O5" s="251">
        <v>169.14</v>
      </c>
      <c r="P5" s="251">
        <v>25371</v>
      </c>
      <c r="Q5" s="280">
        <v>0.58243801652892557</v>
      </c>
      <c r="R5" s="275">
        <v>150</v>
      </c>
      <c r="S5" s="241" t="s">
        <v>493</v>
      </c>
      <c r="T5" s="237" t="s">
        <v>498</v>
      </c>
      <c r="U5" s="237"/>
      <c r="V5" s="237" t="s">
        <v>495</v>
      </c>
      <c r="W5" s="237">
        <v>0</v>
      </c>
      <c r="X5" s="237">
        <v>0</v>
      </c>
      <c r="Y5" s="242">
        <v>44503</v>
      </c>
      <c r="Z5" s="237"/>
      <c r="AA5" s="243" t="s">
        <v>96</v>
      </c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</row>
    <row r="6" spans="1:64" x14ac:dyDescent="0.25">
      <c r="A6" s="237" t="s">
        <v>499</v>
      </c>
      <c r="B6" s="237" t="s">
        <v>500</v>
      </c>
      <c r="C6" s="261">
        <v>44256</v>
      </c>
      <c r="D6" s="251">
        <v>430000</v>
      </c>
      <c r="E6" s="237" t="s">
        <v>83</v>
      </c>
      <c r="F6" s="237" t="s">
        <v>84</v>
      </c>
      <c r="G6" s="251">
        <v>430000</v>
      </c>
      <c r="H6" s="251">
        <v>174400</v>
      </c>
      <c r="I6" s="256">
        <v>40.558139534883722</v>
      </c>
      <c r="J6" s="251">
        <v>31454</v>
      </c>
      <c r="K6" s="266">
        <v>0</v>
      </c>
      <c r="L6" s="270">
        <v>0</v>
      </c>
      <c r="M6" s="275">
        <v>1</v>
      </c>
      <c r="N6" s="275">
        <v>0</v>
      </c>
      <c r="O6" s="251" t="e">
        <v>#DIV/0!</v>
      </c>
      <c r="P6" s="251">
        <v>31454</v>
      </c>
      <c r="Q6" s="280">
        <v>0.72208448117539026</v>
      </c>
      <c r="R6" s="275">
        <v>0</v>
      </c>
      <c r="S6" s="241" t="s">
        <v>501</v>
      </c>
      <c r="T6" s="237" t="s">
        <v>502</v>
      </c>
      <c r="U6" s="237"/>
      <c r="V6" s="237" t="s">
        <v>503</v>
      </c>
      <c r="W6" s="237">
        <v>0</v>
      </c>
      <c r="X6" s="237">
        <v>0</v>
      </c>
      <c r="Y6" s="237" t="s">
        <v>89</v>
      </c>
      <c r="Z6" s="237"/>
      <c r="AA6" s="243" t="s">
        <v>96</v>
      </c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</row>
    <row r="7" spans="1:64" x14ac:dyDescent="0.25">
      <c r="A7" s="237" t="s">
        <v>504</v>
      </c>
      <c r="B7" s="237" t="s">
        <v>505</v>
      </c>
      <c r="C7" s="261">
        <v>44099</v>
      </c>
      <c r="D7" s="251">
        <v>342335</v>
      </c>
      <c r="E7" s="237" t="s">
        <v>83</v>
      </c>
      <c r="F7" s="237" t="s">
        <v>84</v>
      </c>
      <c r="G7" s="251">
        <v>342335</v>
      </c>
      <c r="H7" s="251">
        <v>147600</v>
      </c>
      <c r="I7" s="256">
        <v>43.115661559583451</v>
      </c>
      <c r="J7" s="251">
        <v>19613</v>
      </c>
      <c r="K7" s="266">
        <v>0</v>
      </c>
      <c r="L7" s="270">
        <v>0</v>
      </c>
      <c r="M7" s="275">
        <v>1</v>
      </c>
      <c r="N7" s="275">
        <v>0</v>
      </c>
      <c r="O7" s="251" t="e">
        <v>#DIV/0!</v>
      </c>
      <c r="P7" s="251">
        <v>19613</v>
      </c>
      <c r="Q7" s="280">
        <v>0.45025252525252524</v>
      </c>
      <c r="R7" s="275">
        <v>0</v>
      </c>
      <c r="S7" s="241" t="s">
        <v>501</v>
      </c>
      <c r="T7" s="237" t="s">
        <v>506</v>
      </c>
      <c r="U7" s="237"/>
      <c r="V7" s="237" t="s">
        <v>503</v>
      </c>
      <c r="W7" s="237">
        <v>0</v>
      </c>
      <c r="X7" s="237">
        <v>0</v>
      </c>
      <c r="Y7" s="237" t="s">
        <v>89</v>
      </c>
      <c r="Z7" s="237"/>
      <c r="AA7" s="243" t="s">
        <v>96</v>
      </c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</row>
    <row r="8" spans="1:64" ht="15.75" thickBot="1" x14ac:dyDescent="0.3">
      <c r="A8" s="237" t="s">
        <v>507</v>
      </c>
      <c r="B8" s="237" t="s">
        <v>508</v>
      </c>
      <c r="C8" s="261">
        <v>44321</v>
      </c>
      <c r="D8" s="251">
        <v>375000</v>
      </c>
      <c r="E8" s="237" t="s">
        <v>106</v>
      </c>
      <c r="F8" s="237" t="s">
        <v>84</v>
      </c>
      <c r="G8" s="251">
        <v>375000</v>
      </c>
      <c r="H8" s="251">
        <v>144000</v>
      </c>
      <c r="I8" s="256">
        <v>38.4</v>
      </c>
      <c r="J8" s="251">
        <v>51123</v>
      </c>
      <c r="K8" s="266">
        <v>0</v>
      </c>
      <c r="L8" s="270">
        <v>0</v>
      </c>
      <c r="M8" s="275">
        <v>1</v>
      </c>
      <c r="N8" s="275">
        <v>0</v>
      </c>
      <c r="O8" s="251" t="e">
        <v>#DIV/0!</v>
      </c>
      <c r="P8" s="251">
        <v>51123</v>
      </c>
      <c r="Q8" s="280">
        <v>1.1736225895316805</v>
      </c>
      <c r="R8" s="275">
        <v>0</v>
      </c>
      <c r="S8" s="241" t="s">
        <v>501</v>
      </c>
      <c r="T8" s="237" t="s">
        <v>509</v>
      </c>
      <c r="U8" s="237"/>
      <c r="V8" s="237" t="s">
        <v>503</v>
      </c>
      <c r="W8" s="237">
        <v>0</v>
      </c>
      <c r="X8" s="237">
        <v>0</v>
      </c>
      <c r="Y8" s="237" t="s">
        <v>89</v>
      </c>
      <c r="Z8" s="237"/>
      <c r="AA8" s="243" t="s">
        <v>96</v>
      </c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</row>
    <row r="9" spans="1:64" ht="15.75" thickTop="1" x14ac:dyDescent="0.25">
      <c r="A9" s="244"/>
      <c r="B9" s="244"/>
      <c r="C9" s="262" t="s">
        <v>113</v>
      </c>
      <c r="D9" s="252">
        <v>2159235</v>
      </c>
      <c r="E9" s="244"/>
      <c r="F9" s="244"/>
      <c r="G9" s="252">
        <v>2159235</v>
      </c>
      <c r="H9" s="252">
        <v>838550</v>
      </c>
      <c r="I9" s="257"/>
      <c r="J9" s="252">
        <v>244725</v>
      </c>
      <c r="K9" s="267">
        <v>300</v>
      </c>
      <c r="L9" s="271"/>
      <c r="M9" s="276">
        <v>7</v>
      </c>
      <c r="N9" s="276">
        <v>2.032</v>
      </c>
      <c r="O9" s="252"/>
      <c r="P9" s="252"/>
      <c r="Q9" s="281"/>
      <c r="R9" s="276"/>
      <c r="S9" s="245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</row>
    <row r="10" spans="1:64" x14ac:dyDescent="0.25">
      <c r="A10" s="246"/>
      <c r="B10" s="246"/>
      <c r="C10" s="263"/>
      <c r="D10" s="253"/>
      <c r="E10" s="246"/>
      <c r="F10" s="246"/>
      <c r="G10" s="253"/>
      <c r="H10" s="253" t="s">
        <v>114</v>
      </c>
      <c r="I10" s="258">
        <v>38.835513503625123</v>
      </c>
      <c r="J10" s="253"/>
      <c r="K10" s="253" t="s">
        <v>115</v>
      </c>
      <c r="L10" s="268"/>
      <c r="M10" s="272"/>
      <c r="N10" s="277" t="s">
        <v>115</v>
      </c>
      <c r="O10" s="277"/>
      <c r="P10" s="253"/>
      <c r="Q10" s="253" t="s">
        <v>115</v>
      </c>
      <c r="R10" s="282"/>
      <c r="S10" s="277"/>
      <c r="T10" s="247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</row>
    <row r="11" spans="1:64" x14ac:dyDescent="0.25">
      <c r="A11" s="248"/>
      <c r="B11" s="248"/>
      <c r="C11" s="264"/>
      <c r="D11" s="254"/>
      <c r="E11" s="248"/>
      <c r="F11" s="248"/>
      <c r="G11" s="254"/>
      <c r="H11" s="254" t="s">
        <v>116</v>
      </c>
      <c r="I11" s="259">
        <v>2.5965390352201059</v>
      </c>
      <c r="J11" s="254"/>
      <c r="K11" s="254" t="s">
        <v>117</v>
      </c>
      <c r="L11" s="284">
        <v>815.75</v>
      </c>
      <c r="M11" s="273"/>
      <c r="N11" s="278" t="s">
        <v>118</v>
      </c>
      <c r="O11" s="278">
        <v>34960.714285714283</v>
      </c>
      <c r="P11" s="254"/>
      <c r="Q11" s="254" t="s">
        <v>119</v>
      </c>
      <c r="R11" s="283">
        <v>0.80258756395120023</v>
      </c>
      <c r="S11" s="278"/>
      <c r="T11" s="249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</row>
    <row r="12" spans="1:64" x14ac:dyDescent="0.25">
      <c r="K12" s="115"/>
    </row>
    <row r="13" spans="1:64" ht="15.75" thickBot="1" x14ac:dyDescent="0.3"/>
    <row r="14" spans="1:64" ht="15.75" thickBot="1" x14ac:dyDescent="0.3">
      <c r="K14" s="112"/>
      <c r="L14" s="9"/>
    </row>
    <row r="15" spans="1:64" x14ac:dyDescent="0.25">
      <c r="A15" s="236">
        <v>2023</v>
      </c>
      <c r="B15" s="236"/>
    </row>
    <row r="16" spans="1:64" x14ac:dyDescent="0.25">
      <c r="A16" s="6" t="s">
        <v>19</v>
      </c>
      <c r="B16" s="14">
        <v>34900</v>
      </c>
    </row>
    <row r="17" spans="1:2" x14ac:dyDescent="0.25">
      <c r="A17" s="6" t="s">
        <v>17</v>
      </c>
      <c r="B17" s="14">
        <v>34900</v>
      </c>
    </row>
    <row r="18" spans="1:2" x14ac:dyDescent="0.25">
      <c r="A18" s="6" t="s">
        <v>600</v>
      </c>
      <c r="B18" s="14">
        <v>34900</v>
      </c>
    </row>
  </sheetData>
  <mergeCells count="1"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BAE99-E8B7-4A18-B372-1BD9471EA0F0}">
  <dimension ref="A1:BJ16"/>
  <sheetViews>
    <sheetView workbookViewId="0">
      <selection activeCell="F33" sqref="F33"/>
    </sheetView>
  </sheetViews>
  <sheetFormatPr defaultRowHeight="15" x14ac:dyDescent="0.25"/>
  <cols>
    <col min="1" max="1" width="14.28515625" bestFit="1" customWidth="1"/>
    <col min="2" max="2" width="15.42578125" bestFit="1" customWidth="1"/>
    <col min="3" max="3" width="9.28515625" bestFit="1" customWidth="1"/>
    <col min="4" max="4" width="10.85546875" bestFit="1" customWidth="1"/>
    <col min="5" max="5" width="5.5703125" bestFit="1" customWidth="1"/>
    <col min="6" max="6" width="16.7109375" bestFit="1" customWidth="1"/>
    <col min="7" max="7" width="10.8554687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3.28515625" bestFit="1" customWidth="1"/>
    <col min="12" max="12" width="14.42578125" bestFit="1" customWidth="1"/>
    <col min="13" max="13" width="11.140625" bestFit="1" customWidth="1"/>
    <col min="14" max="14" width="6.42578125" bestFit="1" customWidth="1"/>
    <col min="15" max="15" width="14.28515625" bestFit="1" customWidth="1"/>
    <col min="16" max="16" width="10.7109375" bestFit="1" customWidth="1"/>
    <col min="17" max="17" width="10" bestFit="1" customWidth="1"/>
    <col min="18" max="18" width="12" bestFit="1" customWidth="1"/>
    <col min="19" max="19" width="11.85546875" bestFit="1" customWidth="1"/>
    <col min="20" max="20" width="11.7109375" bestFit="1" customWidth="1"/>
    <col min="21" max="21" width="8.7109375" bestFit="1" customWidth="1"/>
    <col min="22" max="22" width="10.5703125" bestFit="1" customWidth="1"/>
    <col min="23" max="23" width="19.42578125" bestFit="1" customWidth="1"/>
    <col min="24" max="24" width="12.85546875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9.42578125" bestFit="1" customWidth="1"/>
    <col min="29" max="29" width="5.42578125" bestFit="1" customWidth="1"/>
    <col min="30" max="30" width="55.5703125" bestFit="1" customWidth="1"/>
  </cols>
  <sheetData>
    <row r="1" spans="1:62" x14ac:dyDescent="0.25">
      <c r="A1" s="16" t="s">
        <v>52</v>
      </c>
      <c r="B1" s="16" t="s">
        <v>53</v>
      </c>
      <c r="C1" s="24" t="s">
        <v>54</v>
      </c>
      <c r="D1" s="21" t="s">
        <v>55</v>
      </c>
      <c r="E1" s="16" t="s">
        <v>56</v>
      </c>
      <c r="F1" s="16" t="s">
        <v>57</v>
      </c>
      <c r="G1" s="21" t="s">
        <v>58</v>
      </c>
      <c r="H1" s="21" t="s">
        <v>59</v>
      </c>
      <c r="I1" s="22" t="s">
        <v>60</v>
      </c>
      <c r="J1" s="21" t="s">
        <v>61</v>
      </c>
      <c r="K1" s="21" t="s">
        <v>62</v>
      </c>
      <c r="L1" s="21" t="s">
        <v>63</v>
      </c>
      <c r="M1" s="26" t="s">
        <v>64</v>
      </c>
      <c r="N1" s="28" t="s">
        <v>65</v>
      </c>
      <c r="O1" s="30" t="s">
        <v>66</v>
      </c>
      <c r="P1" s="30" t="s">
        <v>67</v>
      </c>
      <c r="Q1" s="21" t="s">
        <v>68</v>
      </c>
      <c r="R1" s="21" t="s">
        <v>69</v>
      </c>
      <c r="S1" s="32" t="s">
        <v>70</v>
      </c>
      <c r="T1" s="30" t="s">
        <v>71</v>
      </c>
      <c r="U1" s="17" t="s">
        <v>72</v>
      </c>
      <c r="V1" s="16" t="s">
        <v>73</v>
      </c>
      <c r="W1" s="16" t="s">
        <v>74</v>
      </c>
      <c r="X1" s="16" t="s">
        <v>75</v>
      </c>
      <c r="Y1" s="16" t="s">
        <v>76</v>
      </c>
      <c r="Z1" s="16" t="s">
        <v>77</v>
      </c>
      <c r="AA1" s="16" t="s">
        <v>78</v>
      </c>
      <c r="AB1" s="16" t="s">
        <v>79</v>
      </c>
      <c r="AC1" s="16" t="s">
        <v>80</v>
      </c>
      <c r="AD1" s="16" t="s">
        <v>21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x14ac:dyDescent="0.25">
      <c r="A2" t="s">
        <v>81</v>
      </c>
      <c r="B2" t="s">
        <v>82</v>
      </c>
      <c r="C2" s="25">
        <v>44281</v>
      </c>
      <c r="D2" s="9">
        <v>330000</v>
      </c>
      <c r="E2" t="s">
        <v>83</v>
      </c>
      <c r="F2" t="s">
        <v>84</v>
      </c>
      <c r="G2" s="9">
        <v>330000</v>
      </c>
      <c r="H2" s="9">
        <v>140100</v>
      </c>
      <c r="I2" s="23">
        <v>42.454545454545453</v>
      </c>
      <c r="J2" s="9">
        <v>325699</v>
      </c>
      <c r="K2" s="9">
        <v>185739</v>
      </c>
      <c r="L2" s="9">
        <v>152741</v>
      </c>
      <c r="M2" s="27">
        <v>0</v>
      </c>
      <c r="N2" s="29">
        <v>0</v>
      </c>
      <c r="O2" s="31">
        <v>22.16</v>
      </c>
      <c r="P2" s="31">
        <v>22.16</v>
      </c>
      <c r="Q2" s="9" t="e">
        <v>#DIV/0!</v>
      </c>
      <c r="R2" s="9">
        <v>8381.7238267148023</v>
      </c>
      <c r="S2" s="33">
        <v>0.1924179023580074</v>
      </c>
      <c r="T2" s="31">
        <v>0</v>
      </c>
      <c r="U2" s="18" t="s">
        <v>85</v>
      </c>
      <c r="V2" t="s">
        <v>86</v>
      </c>
      <c r="W2" t="s">
        <v>87</v>
      </c>
      <c r="X2" t="s">
        <v>88</v>
      </c>
      <c r="Y2">
        <v>0</v>
      </c>
      <c r="Z2">
        <v>0</v>
      </c>
      <c r="AA2" t="s">
        <v>89</v>
      </c>
      <c r="AC2" s="19" t="s">
        <v>90</v>
      </c>
    </row>
    <row r="3" spans="1:62" x14ac:dyDescent="0.25">
      <c r="A3" t="s">
        <v>91</v>
      </c>
      <c r="B3" t="s">
        <v>92</v>
      </c>
      <c r="C3" s="25">
        <v>44270</v>
      </c>
      <c r="D3" s="9">
        <v>177337</v>
      </c>
      <c r="E3" t="s">
        <v>93</v>
      </c>
      <c r="F3" t="s">
        <v>84</v>
      </c>
      <c r="G3" s="9">
        <v>177337</v>
      </c>
      <c r="H3" s="9">
        <v>104400</v>
      </c>
      <c r="I3" s="23">
        <v>58.870963194370042</v>
      </c>
      <c r="J3" s="9">
        <v>183943</v>
      </c>
      <c r="K3" s="9">
        <v>40766</v>
      </c>
      <c r="L3" s="9">
        <v>47372</v>
      </c>
      <c r="M3" s="27">
        <v>0</v>
      </c>
      <c r="N3" s="29">
        <v>0</v>
      </c>
      <c r="O3" s="31">
        <v>18.22</v>
      </c>
      <c r="P3" s="31">
        <v>12.57</v>
      </c>
      <c r="Q3" s="9" t="e">
        <v>#DIV/0!</v>
      </c>
      <c r="R3" s="9">
        <v>2237.4313940724478</v>
      </c>
      <c r="S3" s="33">
        <v>5.1364357072370241E-2</v>
      </c>
      <c r="T3" s="31">
        <v>0</v>
      </c>
      <c r="U3" s="18" t="s">
        <v>1</v>
      </c>
      <c r="V3" t="s">
        <v>94</v>
      </c>
      <c r="W3" t="s">
        <v>95</v>
      </c>
      <c r="X3" t="s">
        <v>88</v>
      </c>
      <c r="Y3">
        <v>0</v>
      </c>
      <c r="Z3">
        <v>0</v>
      </c>
      <c r="AA3" s="20">
        <v>44788</v>
      </c>
      <c r="AC3" s="19" t="s">
        <v>96</v>
      </c>
      <c r="AD3" t="s">
        <v>97</v>
      </c>
    </row>
    <row r="4" spans="1:62" x14ac:dyDescent="0.25">
      <c r="A4" t="s">
        <v>95</v>
      </c>
      <c r="B4" t="s">
        <v>98</v>
      </c>
      <c r="C4" s="25">
        <v>44270</v>
      </c>
      <c r="D4" s="9">
        <v>177337</v>
      </c>
      <c r="E4" t="s">
        <v>93</v>
      </c>
      <c r="F4" t="s">
        <v>84</v>
      </c>
      <c r="G4" s="9">
        <v>177337</v>
      </c>
      <c r="H4" s="9">
        <v>27350</v>
      </c>
      <c r="I4" s="23">
        <v>15.422613442203263</v>
      </c>
      <c r="J4" s="9">
        <v>47372</v>
      </c>
      <c r="K4" s="9">
        <v>177337</v>
      </c>
      <c r="L4" s="9">
        <v>47372</v>
      </c>
      <c r="M4" s="27">
        <v>0</v>
      </c>
      <c r="N4" s="29">
        <v>0</v>
      </c>
      <c r="O4" s="31">
        <v>18.22</v>
      </c>
      <c r="P4" s="31">
        <v>7.41</v>
      </c>
      <c r="Q4" s="9" t="e">
        <v>#DIV/0!</v>
      </c>
      <c r="R4" s="9">
        <v>9733.095499451154</v>
      </c>
      <c r="S4" s="33">
        <v>0.22344112716830014</v>
      </c>
      <c r="T4" s="31">
        <v>0</v>
      </c>
      <c r="U4" s="18" t="s">
        <v>1</v>
      </c>
      <c r="V4" t="s">
        <v>94</v>
      </c>
      <c r="W4" t="s">
        <v>91</v>
      </c>
      <c r="X4" t="s">
        <v>88</v>
      </c>
      <c r="Y4">
        <v>0</v>
      </c>
      <c r="Z4">
        <v>0</v>
      </c>
      <c r="AA4" s="20">
        <v>44788</v>
      </c>
      <c r="AC4" s="19" t="s">
        <v>99</v>
      </c>
    </row>
    <row r="5" spans="1:62" x14ac:dyDescent="0.25">
      <c r="A5" t="s">
        <v>100</v>
      </c>
      <c r="B5" t="s">
        <v>101</v>
      </c>
      <c r="C5" s="25">
        <v>44518</v>
      </c>
      <c r="D5" s="9">
        <v>90000</v>
      </c>
      <c r="E5" t="s">
        <v>83</v>
      </c>
      <c r="F5" t="s">
        <v>84</v>
      </c>
      <c r="G5" s="9">
        <v>90000</v>
      </c>
      <c r="H5" s="9">
        <v>46200</v>
      </c>
      <c r="I5" s="23">
        <v>51.333333333333329</v>
      </c>
      <c r="J5" s="9">
        <v>225849</v>
      </c>
      <c r="K5" s="9">
        <v>90000</v>
      </c>
      <c r="L5" s="9">
        <v>96191</v>
      </c>
      <c r="M5" s="27">
        <v>0</v>
      </c>
      <c r="N5" s="29">
        <v>0</v>
      </c>
      <c r="O5" s="31">
        <v>16.5</v>
      </c>
      <c r="P5" s="31">
        <v>16.5</v>
      </c>
      <c r="Q5" s="9" t="e">
        <v>#DIV/0!</v>
      </c>
      <c r="R5" s="9">
        <v>5454.545454545455</v>
      </c>
      <c r="S5" s="33">
        <v>0.12521913348359631</v>
      </c>
      <c r="T5" s="31">
        <v>0</v>
      </c>
      <c r="U5" s="18" t="s">
        <v>85</v>
      </c>
      <c r="V5" t="s">
        <v>102</v>
      </c>
      <c r="X5" t="s">
        <v>88</v>
      </c>
      <c r="Y5">
        <v>0</v>
      </c>
      <c r="Z5">
        <v>0</v>
      </c>
      <c r="AA5" t="s">
        <v>89</v>
      </c>
      <c r="AC5" s="19" t="s">
        <v>103</v>
      </c>
    </row>
    <row r="6" spans="1:62" x14ac:dyDescent="0.25">
      <c r="A6" t="s">
        <v>104</v>
      </c>
      <c r="B6" t="s">
        <v>105</v>
      </c>
      <c r="C6" s="25">
        <v>44572</v>
      </c>
      <c r="D6" s="9">
        <v>750000</v>
      </c>
      <c r="E6" t="s">
        <v>106</v>
      </c>
      <c r="F6" t="s">
        <v>84</v>
      </c>
      <c r="G6" s="9">
        <v>750000</v>
      </c>
      <c r="H6" s="9">
        <v>409100</v>
      </c>
      <c r="I6" s="23">
        <v>54.546666666666667</v>
      </c>
      <c r="J6" s="9">
        <v>871504</v>
      </c>
      <c r="K6" s="9">
        <v>561396</v>
      </c>
      <c r="L6" s="9">
        <v>682900</v>
      </c>
      <c r="M6" s="27">
        <v>0</v>
      </c>
      <c r="N6" s="29">
        <v>0</v>
      </c>
      <c r="O6" s="31">
        <v>120</v>
      </c>
      <c r="P6" s="31">
        <v>120</v>
      </c>
      <c r="Q6" s="9" t="e">
        <v>#DIV/0!</v>
      </c>
      <c r="R6" s="9">
        <v>4678.3</v>
      </c>
      <c r="S6" s="33">
        <v>0.1073989898989899</v>
      </c>
      <c r="T6" s="31">
        <v>0</v>
      </c>
      <c r="U6" s="18" t="s">
        <v>107</v>
      </c>
      <c r="V6" t="s">
        <v>108</v>
      </c>
      <c r="X6" t="s">
        <v>109</v>
      </c>
      <c r="Y6">
        <v>0</v>
      </c>
      <c r="Z6">
        <v>0</v>
      </c>
      <c r="AA6" t="s">
        <v>89</v>
      </c>
      <c r="AC6" s="19" t="s">
        <v>103</v>
      </c>
    </row>
    <row r="7" spans="1:62" x14ac:dyDescent="0.25">
      <c r="A7" t="s">
        <v>110</v>
      </c>
      <c r="B7" t="s">
        <v>111</v>
      </c>
      <c r="C7" s="25">
        <v>44196</v>
      </c>
      <c r="D7" s="9">
        <v>340000</v>
      </c>
      <c r="E7" t="s">
        <v>106</v>
      </c>
      <c r="F7" t="s">
        <v>84</v>
      </c>
      <c r="G7" s="9">
        <v>340000</v>
      </c>
      <c r="H7" s="9">
        <v>183100</v>
      </c>
      <c r="I7" s="23">
        <v>53.852941176470594</v>
      </c>
      <c r="J7" s="9">
        <v>407743</v>
      </c>
      <c r="K7" s="9">
        <v>168167</v>
      </c>
      <c r="L7" s="9">
        <v>235910</v>
      </c>
      <c r="M7" s="27">
        <v>0</v>
      </c>
      <c r="N7" s="29">
        <v>0</v>
      </c>
      <c r="O7" s="31">
        <v>40</v>
      </c>
      <c r="P7" s="31">
        <v>40</v>
      </c>
      <c r="Q7" s="9" t="e">
        <v>#DIV/0!</v>
      </c>
      <c r="R7" s="9">
        <v>4204.1750000000002</v>
      </c>
      <c r="S7" s="33">
        <v>9.6514577594123047E-2</v>
      </c>
      <c r="T7" s="31">
        <v>0</v>
      </c>
      <c r="U7" s="18" t="s">
        <v>107</v>
      </c>
      <c r="V7" t="s">
        <v>112</v>
      </c>
      <c r="X7" t="s">
        <v>109</v>
      </c>
      <c r="Y7">
        <v>0</v>
      </c>
      <c r="Z7">
        <v>0</v>
      </c>
      <c r="AA7" s="20">
        <v>44398</v>
      </c>
      <c r="AC7" s="19" t="s">
        <v>90</v>
      </c>
    </row>
    <row r="8" spans="1:62" x14ac:dyDescent="0.25">
      <c r="A8" t="s">
        <v>121</v>
      </c>
      <c r="B8" t="s">
        <v>122</v>
      </c>
      <c r="C8" s="25">
        <v>44770</v>
      </c>
      <c r="D8" s="9">
        <v>72000</v>
      </c>
      <c r="E8" t="s">
        <v>83</v>
      </c>
      <c r="F8" t="s">
        <v>123</v>
      </c>
      <c r="G8" s="9">
        <v>72000</v>
      </c>
      <c r="H8" s="9">
        <v>0</v>
      </c>
      <c r="I8" s="23">
        <v>0</v>
      </c>
      <c r="J8" s="9">
        <v>543598</v>
      </c>
      <c r="K8" s="9">
        <v>-316000</v>
      </c>
      <c r="L8" s="9">
        <v>155598</v>
      </c>
      <c r="M8" s="27">
        <v>0</v>
      </c>
      <c r="N8" s="29">
        <v>0</v>
      </c>
      <c r="O8" s="31">
        <v>19.38</v>
      </c>
      <c r="P8" s="31">
        <v>19.38</v>
      </c>
      <c r="Q8" s="9" t="e">
        <v>#DIV/0!</v>
      </c>
      <c r="R8" s="9">
        <v>-16305.469556243552</v>
      </c>
      <c r="S8" s="33">
        <v>-0.37432207429392911</v>
      </c>
      <c r="T8" s="31">
        <v>0</v>
      </c>
      <c r="U8" s="18" t="s">
        <v>124</v>
      </c>
      <c r="V8" t="s">
        <v>125</v>
      </c>
      <c r="X8" t="s">
        <v>126</v>
      </c>
      <c r="Y8">
        <v>0</v>
      </c>
      <c r="Z8">
        <v>0</v>
      </c>
      <c r="AA8" s="20">
        <v>42975</v>
      </c>
      <c r="AC8" s="19" t="s">
        <v>96</v>
      </c>
      <c r="AL8" s="1"/>
      <c r="BC8" s="1"/>
      <c r="BE8" s="1"/>
    </row>
    <row r="9" spans="1:62" x14ac:dyDescent="0.25">
      <c r="A9" t="s">
        <v>127</v>
      </c>
      <c r="B9" t="s">
        <v>128</v>
      </c>
      <c r="C9" s="25">
        <v>44775</v>
      </c>
      <c r="D9" s="9">
        <v>171600</v>
      </c>
      <c r="E9" t="s">
        <v>83</v>
      </c>
      <c r="F9" t="s">
        <v>123</v>
      </c>
      <c r="G9" s="9">
        <v>171600</v>
      </c>
      <c r="H9" s="9">
        <v>0</v>
      </c>
      <c r="I9" s="23">
        <v>0</v>
      </c>
      <c r="J9" s="9">
        <v>187640</v>
      </c>
      <c r="K9" s="9">
        <v>114415</v>
      </c>
      <c r="L9" s="9">
        <v>130455</v>
      </c>
      <c r="M9" s="27">
        <v>0</v>
      </c>
      <c r="N9" s="29">
        <v>0</v>
      </c>
      <c r="O9" s="31">
        <v>21.45</v>
      </c>
      <c r="P9" s="31">
        <v>21.45</v>
      </c>
      <c r="Q9" s="9" t="e">
        <v>#DIV/0!</v>
      </c>
      <c r="R9" s="9">
        <v>5334.0326340326346</v>
      </c>
      <c r="S9" s="33">
        <v>0.12245253980791172</v>
      </c>
      <c r="T9" s="31">
        <v>0</v>
      </c>
      <c r="U9" s="18" t="s">
        <v>129</v>
      </c>
      <c r="V9" t="s">
        <v>130</v>
      </c>
      <c r="X9" t="s">
        <v>126</v>
      </c>
      <c r="Y9">
        <v>0</v>
      </c>
      <c r="Z9">
        <v>1</v>
      </c>
      <c r="AA9" s="20">
        <v>32813</v>
      </c>
      <c r="AC9" s="19" t="s">
        <v>103</v>
      </c>
    </row>
    <row r="10" spans="1:62" x14ac:dyDescent="0.25">
      <c r="A10" t="s">
        <v>131</v>
      </c>
      <c r="B10" t="s">
        <v>132</v>
      </c>
      <c r="C10" s="25">
        <v>44616</v>
      </c>
      <c r="D10" s="9">
        <v>156000</v>
      </c>
      <c r="E10" t="s">
        <v>83</v>
      </c>
      <c r="F10" t="s">
        <v>84</v>
      </c>
      <c r="G10" s="9">
        <v>156000</v>
      </c>
      <c r="H10" s="9">
        <v>86800</v>
      </c>
      <c r="I10" s="23">
        <v>55.641025641025642</v>
      </c>
      <c r="J10" s="9">
        <v>160246</v>
      </c>
      <c r="K10" s="9">
        <v>155167</v>
      </c>
      <c r="L10" s="9">
        <v>159413</v>
      </c>
      <c r="M10" s="27">
        <v>0</v>
      </c>
      <c r="N10" s="29">
        <v>0</v>
      </c>
      <c r="O10" s="31">
        <v>38.81</v>
      </c>
      <c r="P10" s="31">
        <v>38.81</v>
      </c>
      <c r="Q10" s="9" t="e">
        <v>#DIV/0!</v>
      </c>
      <c r="R10" s="9">
        <v>3998.1190414841535</v>
      </c>
      <c r="S10" s="33">
        <v>9.1784183688800591E-2</v>
      </c>
      <c r="T10" s="31">
        <v>0</v>
      </c>
      <c r="U10" s="18" t="s">
        <v>133</v>
      </c>
      <c r="V10" t="s">
        <v>134</v>
      </c>
      <c r="X10" t="s">
        <v>126</v>
      </c>
      <c r="Y10">
        <v>0</v>
      </c>
      <c r="Z10">
        <v>1</v>
      </c>
      <c r="AA10" s="20">
        <v>32812</v>
      </c>
      <c r="AC10" s="19" t="s">
        <v>103</v>
      </c>
    </row>
    <row r="15" spans="1:62" x14ac:dyDescent="0.25">
      <c r="A15" t="s">
        <v>21</v>
      </c>
    </row>
    <row r="16" spans="1:62" x14ac:dyDescent="0.25">
      <c r="A1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EC61C-B94F-4DB4-9C56-3F414AFEB890}">
  <dimension ref="A1:BG30"/>
  <sheetViews>
    <sheetView workbookViewId="0">
      <selection activeCell="M26" sqref="M26"/>
    </sheetView>
  </sheetViews>
  <sheetFormatPr defaultRowHeight="15" x14ac:dyDescent="0.25"/>
  <cols>
    <col min="1" max="1" width="14.28515625" bestFit="1" customWidth="1"/>
    <col min="2" max="2" width="19.5703125" bestFit="1" customWidth="1"/>
    <col min="3" max="3" width="10.140625" bestFit="1" customWidth="1"/>
    <col min="4" max="4" width="12.28515625" customWidth="1"/>
    <col min="5" max="5" width="9.42578125" bestFit="1" customWidth="1"/>
    <col min="6" max="6" width="13.5703125" bestFit="1" customWidth="1"/>
    <col min="7" max="7" width="11.5703125" customWidth="1"/>
    <col min="8" max="8" width="14.7109375" bestFit="1" customWidth="1"/>
    <col min="9" max="9" width="12.85546875" bestFit="1" customWidth="1"/>
    <col min="11" max="11" width="14.28515625" bestFit="1" customWidth="1"/>
    <col min="12" max="12" width="23.28515625" customWidth="1"/>
    <col min="15" max="15" width="12.7109375" bestFit="1" customWidth="1"/>
    <col min="16" max="16" width="12.5703125" bestFit="1" customWidth="1"/>
    <col min="17" max="17" width="14.140625" bestFit="1" customWidth="1"/>
  </cols>
  <sheetData>
    <row r="1" spans="1:59" x14ac:dyDescent="0.25">
      <c r="A1" s="34" t="s">
        <v>157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x14ac:dyDescent="0.25">
      <c r="A2" s="34" t="s">
        <v>156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AG2" s="1"/>
      <c r="AX2" s="1"/>
      <c r="AZ2" s="1"/>
    </row>
    <row r="3" spans="1:59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59" x14ac:dyDescent="0.25">
      <c r="A4" s="34"/>
      <c r="B4" s="55"/>
      <c r="C4" s="44"/>
      <c r="D4" s="34" t="s">
        <v>137</v>
      </c>
      <c r="E4" s="38">
        <v>2600</v>
      </c>
      <c r="F4" s="44"/>
      <c r="G4" s="34"/>
      <c r="H4" s="38"/>
      <c r="I4" s="50"/>
      <c r="J4" s="55"/>
      <c r="K4" s="50"/>
      <c r="L4" s="50"/>
    </row>
    <row r="5" spans="1:59" x14ac:dyDescent="0.25">
      <c r="A5" s="34" t="s">
        <v>138</v>
      </c>
      <c r="B5" s="76">
        <v>4300</v>
      </c>
      <c r="C5" s="44"/>
      <c r="D5" s="34"/>
      <c r="E5" s="55"/>
      <c r="F5" s="44"/>
      <c r="G5" s="34"/>
      <c r="H5" s="55"/>
      <c r="I5" s="50"/>
      <c r="J5" s="44"/>
      <c r="K5" s="50"/>
      <c r="L5" s="50"/>
    </row>
    <row r="6" spans="1:59" x14ac:dyDescent="0.25">
      <c r="A6" s="34" t="s">
        <v>135</v>
      </c>
      <c r="B6" s="55"/>
      <c r="C6" s="44"/>
      <c r="D6" s="34"/>
      <c r="E6" s="55"/>
      <c r="F6" s="44"/>
      <c r="G6" s="34" t="s">
        <v>43</v>
      </c>
      <c r="H6" s="38">
        <v>7100</v>
      </c>
      <c r="I6" s="75" t="s">
        <v>135</v>
      </c>
      <c r="J6" s="44"/>
      <c r="K6" s="50"/>
      <c r="L6" s="50"/>
    </row>
    <row r="7" spans="1:59" ht="15.75" thickBot="1" x14ac:dyDescent="0.3">
      <c r="A7" s="44"/>
      <c r="B7" s="44"/>
      <c r="C7" s="50"/>
      <c r="D7" s="50"/>
      <c r="E7" s="44"/>
      <c r="F7" s="44"/>
      <c r="G7" s="44"/>
      <c r="H7" s="44" t="s">
        <v>135</v>
      </c>
      <c r="I7" s="55"/>
      <c r="J7" s="55"/>
      <c r="K7" s="44"/>
      <c r="L7" s="44"/>
    </row>
    <row r="8" spans="1:59" x14ac:dyDescent="0.25">
      <c r="A8" s="74"/>
      <c r="B8" s="73" t="s">
        <v>155</v>
      </c>
      <c r="C8" s="73" t="s">
        <v>154</v>
      </c>
      <c r="D8" s="73"/>
      <c r="E8" s="73" t="s">
        <v>153</v>
      </c>
      <c r="F8" s="73" t="s">
        <v>152</v>
      </c>
      <c r="G8" s="73" t="s">
        <v>151</v>
      </c>
      <c r="H8" s="73" t="s">
        <v>150</v>
      </c>
      <c r="I8" s="73" t="s">
        <v>138</v>
      </c>
      <c r="J8" s="73" t="s">
        <v>45</v>
      </c>
      <c r="K8" s="73" t="s">
        <v>149</v>
      </c>
      <c r="L8" s="72" t="s">
        <v>148</v>
      </c>
    </row>
    <row r="9" spans="1:59" ht="15.75" thickBot="1" x14ac:dyDescent="0.3">
      <c r="A9" s="71" t="s">
        <v>135</v>
      </c>
      <c r="B9" s="70" t="s">
        <v>147</v>
      </c>
      <c r="C9" s="70" t="s">
        <v>146</v>
      </c>
      <c r="D9" s="70"/>
      <c r="E9" s="70" t="s">
        <v>145</v>
      </c>
      <c r="F9" s="70" t="s">
        <v>144</v>
      </c>
      <c r="G9" s="70" t="s">
        <v>143</v>
      </c>
      <c r="H9" s="70" t="s">
        <v>142</v>
      </c>
      <c r="I9" s="70" t="s">
        <v>135</v>
      </c>
      <c r="J9" s="70" t="s">
        <v>141</v>
      </c>
      <c r="K9" s="70"/>
      <c r="L9" s="69"/>
    </row>
    <row r="10" spans="1:59" x14ac:dyDescent="0.25">
      <c r="A10" s="34" t="s">
        <v>138</v>
      </c>
      <c r="B10" s="43" t="s">
        <v>81</v>
      </c>
      <c r="C10" s="66">
        <v>44281</v>
      </c>
      <c r="D10" s="68"/>
      <c r="E10" s="50">
        <v>22.79</v>
      </c>
      <c r="F10" s="49">
        <v>330000</v>
      </c>
      <c r="G10" s="48">
        <v>185308</v>
      </c>
      <c r="H10" s="67">
        <f>SUM(((F10-G10)-((K10*$H$6)+(J10*$E$4)))/I10)</f>
        <v>5520.0975609756097</v>
      </c>
      <c r="I10" s="46">
        <v>10.25</v>
      </c>
      <c r="J10" s="46">
        <v>0</v>
      </c>
      <c r="K10" s="45">
        <v>12.41</v>
      </c>
      <c r="L10" s="44" t="s">
        <v>140</v>
      </c>
    </row>
    <row r="11" spans="1:59" x14ac:dyDescent="0.25">
      <c r="A11" s="34"/>
      <c r="B11" s="43" t="s">
        <v>131</v>
      </c>
      <c r="C11" s="66">
        <v>44616</v>
      </c>
      <c r="D11" s="68"/>
      <c r="E11" s="50">
        <v>38.81</v>
      </c>
      <c r="F11" s="49">
        <v>156000</v>
      </c>
      <c r="G11" s="48">
        <v>0</v>
      </c>
      <c r="H11" s="67">
        <f>SUM(((F11-G11)-((K11*$H$6)+(J11*$E$4)))/I11)</f>
        <v>3114.9666666666667</v>
      </c>
      <c r="I11" s="46">
        <v>30</v>
      </c>
      <c r="J11" s="46">
        <v>0</v>
      </c>
      <c r="K11" s="45">
        <v>8.81</v>
      </c>
      <c r="L11" s="44"/>
    </row>
    <row r="12" spans="1:59" x14ac:dyDescent="0.25">
      <c r="A12" s="34"/>
      <c r="B12" s="43" t="s">
        <v>104</v>
      </c>
      <c r="C12" s="66">
        <v>44572</v>
      </c>
      <c r="D12" s="50"/>
      <c r="E12" s="50">
        <v>120</v>
      </c>
      <c r="F12" s="49">
        <v>750000</v>
      </c>
      <c r="G12" s="48">
        <f>139992+48612</f>
        <v>188604</v>
      </c>
      <c r="H12" s="67">
        <f>SUM(((F12-G12)-((K12*$H$6)+(J12*$E$4)))/I12)</f>
        <v>2242.8571428571427</v>
      </c>
      <c r="I12" s="46">
        <v>53.34</v>
      </c>
      <c r="J12" s="46">
        <v>0</v>
      </c>
      <c r="K12" s="45">
        <v>62.22</v>
      </c>
      <c r="L12" s="44"/>
    </row>
    <row r="13" spans="1:59" x14ac:dyDescent="0.25">
      <c r="A13" s="34"/>
      <c r="B13" s="43" t="s">
        <v>91</v>
      </c>
      <c r="C13" s="66">
        <v>44270</v>
      </c>
      <c r="D13" s="50"/>
      <c r="E13" s="50">
        <v>40</v>
      </c>
      <c r="F13" s="49">
        <v>177337</v>
      </c>
      <c r="G13" s="48">
        <v>136154</v>
      </c>
      <c r="H13" s="67">
        <f>SUM(((F13-G13)-((K13*$H$6)+(J13*$E$4)))/I13)</f>
        <v>1759.5555555555557</v>
      </c>
      <c r="I13" s="46">
        <v>9</v>
      </c>
      <c r="J13" s="46">
        <v>0</v>
      </c>
      <c r="K13" s="45">
        <v>3.57</v>
      </c>
      <c r="L13" s="44"/>
    </row>
    <row r="14" spans="1:59" ht="15.75" thickBot="1" x14ac:dyDescent="0.3">
      <c r="A14" s="44"/>
      <c r="B14" s="50"/>
      <c r="C14" s="66"/>
      <c r="D14" s="50"/>
      <c r="E14" s="50"/>
      <c r="F14" s="49"/>
      <c r="G14" s="48"/>
      <c r="H14" s="55">
        <f>AVERAGE(H10:H13)</f>
        <v>3159.3692315137441</v>
      </c>
      <c r="I14" s="46"/>
      <c r="J14" s="46"/>
      <c r="K14" s="45"/>
      <c r="L14" s="44"/>
      <c r="O14" s="134" t="s">
        <v>139</v>
      </c>
      <c r="P14" s="134"/>
    </row>
    <row r="15" spans="1:59" ht="15.75" thickTop="1" x14ac:dyDescent="0.25">
      <c r="A15" s="44"/>
      <c r="B15" s="50"/>
      <c r="C15" s="66"/>
      <c r="D15" s="50"/>
      <c r="E15" s="50"/>
      <c r="F15" s="49"/>
      <c r="G15" s="48"/>
      <c r="H15" s="55"/>
      <c r="I15" s="42" t="s">
        <v>579</v>
      </c>
      <c r="J15" s="46"/>
      <c r="K15" s="45"/>
      <c r="L15" s="44"/>
      <c r="O15" t="s">
        <v>43</v>
      </c>
      <c r="P15" s="10">
        <v>6300</v>
      </c>
    </row>
    <row r="16" spans="1:59" x14ac:dyDescent="0.25">
      <c r="A16" s="34"/>
      <c r="B16" s="50"/>
      <c r="C16" s="66"/>
      <c r="D16" s="65"/>
      <c r="E16" s="44"/>
      <c r="F16" s="55"/>
      <c r="I16" s="46"/>
      <c r="J16" s="46"/>
      <c r="K16" s="46"/>
      <c r="L16" s="44"/>
      <c r="O16" t="s">
        <v>138</v>
      </c>
      <c r="P16" s="10">
        <v>3100</v>
      </c>
    </row>
    <row r="17" spans="1:16" x14ac:dyDescent="0.25">
      <c r="A17" s="34" t="s">
        <v>137</v>
      </c>
      <c r="B17" s="44"/>
      <c r="C17" s="66"/>
      <c r="D17" s="65"/>
      <c r="E17" s="50"/>
      <c r="F17" s="49"/>
      <c r="G17" s="55"/>
      <c r="H17" s="55"/>
      <c r="I17" s="46"/>
      <c r="J17" s="46"/>
      <c r="K17" s="45"/>
      <c r="L17" s="44"/>
      <c r="O17" t="s">
        <v>45</v>
      </c>
      <c r="P17" s="10">
        <v>2800</v>
      </c>
    </row>
    <row r="18" spans="1:16" x14ac:dyDescent="0.25">
      <c r="A18" s="34" t="s">
        <v>135</v>
      </c>
      <c r="B18" s="43" t="s">
        <v>100</v>
      </c>
      <c r="C18" s="66">
        <v>44518</v>
      </c>
      <c r="D18" s="65"/>
      <c r="E18" s="44">
        <v>16.5</v>
      </c>
      <c r="F18" s="55">
        <v>90000</v>
      </c>
      <c r="G18" s="55">
        <v>0</v>
      </c>
      <c r="H18" s="47">
        <f>SUM(((F18-G18)-((I18*$B$5)+(K18*$H$6)))/J18)</f>
        <v>2172.5952813067152</v>
      </c>
      <c r="I18" s="46">
        <v>0</v>
      </c>
      <c r="J18" s="46">
        <v>5.51</v>
      </c>
      <c r="K18" s="46">
        <v>10.99</v>
      </c>
      <c r="L18" s="44"/>
      <c r="P18" s="10"/>
    </row>
    <row r="19" spans="1:16" x14ac:dyDescent="0.25">
      <c r="A19" s="34"/>
      <c r="B19" s="43" t="s">
        <v>565</v>
      </c>
      <c r="C19" s="66">
        <v>44578</v>
      </c>
      <c r="D19" s="65"/>
      <c r="E19" s="44">
        <f>35.66+8.03</f>
        <v>43.69</v>
      </c>
      <c r="F19" s="55">
        <v>160000</v>
      </c>
      <c r="G19" s="55">
        <v>0</v>
      </c>
      <c r="H19" s="47">
        <f>SUM(((F19-G19)-((I19*$B$5)+(K19*$H$6)))/J19)</f>
        <v>3518.536174985979</v>
      </c>
      <c r="I19" s="46">
        <v>8.0299999999999994</v>
      </c>
      <c r="J19" s="46">
        <v>35.659999999999997</v>
      </c>
      <c r="K19" s="46">
        <v>0</v>
      </c>
      <c r="L19" s="44"/>
      <c r="O19" t="s">
        <v>577</v>
      </c>
      <c r="P19" s="10">
        <v>12000</v>
      </c>
    </row>
    <row r="20" spans="1:16" x14ac:dyDescent="0.25">
      <c r="A20" s="44"/>
      <c r="B20" s="62"/>
      <c r="C20" s="64"/>
      <c r="D20" s="63"/>
      <c r="E20" s="62"/>
      <c r="F20" s="61"/>
      <c r="G20" s="61"/>
      <c r="H20" s="55">
        <f>AVERAGE(H18:H19)</f>
        <v>2845.5657281463473</v>
      </c>
      <c r="I20" s="60"/>
      <c r="J20" s="60"/>
      <c r="K20" s="59"/>
      <c r="L20" s="44"/>
      <c r="P20" s="144" t="s">
        <v>581</v>
      </c>
    </row>
    <row r="21" spans="1:16" x14ac:dyDescent="0.25">
      <c r="A21" s="44"/>
      <c r="B21" s="44"/>
      <c r="C21" s="57"/>
      <c r="D21" s="56"/>
      <c r="E21" s="44"/>
      <c r="F21" s="55"/>
      <c r="G21" s="55"/>
      <c r="H21" s="55"/>
      <c r="I21" s="36" t="s">
        <v>566</v>
      </c>
      <c r="J21" s="48"/>
      <c r="K21" s="46"/>
      <c r="L21" s="44" t="s">
        <v>135</v>
      </c>
      <c r="P21" s="15" t="s">
        <v>580</v>
      </c>
    </row>
    <row r="22" spans="1:16" x14ac:dyDescent="0.25">
      <c r="A22" s="38" t="s">
        <v>136</v>
      </c>
      <c r="B22" s="44"/>
      <c r="C22" s="57"/>
      <c r="D22" s="56"/>
      <c r="E22" s="44"/>
      <c r="F22" s="55"/>
      <c r="G22" s="55"/>
      <c r="H22" s="55"/>
      <c r="I22" s="48"/>
      <c r="J22" s="48"/>
      <c r="K22" s="46"/>
      <c r="L22" s="44" t="s">
        <v>135</v>
      </c>
    </row>
    <row r="23" spans="1:16" x14ac:dyDescent="0.25">
      <c r="A23" s="38"/>
      <c r="B23" s="44"/>
      <c r="C23" s="57"/>
      <c r="D23" s="56"/>
      <c r="E23" s="44"/>
      <c r="F23" s="55"/>
      <c r="G23" s="58"/>
      <c r="H23" s="55"/>
      <c r="I23" s="46"/>
      <c r="J23" s="46"/>
      <c r="K23" s="46"/>
      <c r="L23" s="44"/>
      <c r="O23" t="s">
        <v>135</v>
      </c>
    </row>
    <row r="24" spans="1:16" x14ac:dyDescent="0.25">
      <c r="A24" s="38"/>
      <c r="B24" s="34" t="s">
        <v>121</v>
      </c>
      <c r="C24" s="57">
        <v>44770</v>
      </c>
      <c r="D24" s="56"/>
      <c r="E24" s="44">
        <v>10.33</v>
      </c>
      <c r="F24" s="55">
        <v>72000</v>
      </c>
      <c r="G24" s="55">
        <v>0</v>
      </c>
      <c r="H24" s="47">
        <f>SUM((F24-G24)-(I24*$B$5)+(J24*$H$6))/K24</f>
        <v>6969.9903194578892</v>
      </c>
      <c r="I24" s="46">
        <v>0</v>
      </c>
      <c r="J24" s="46">
        <v>0</v>
      </c>
      <c r="K24" s="46">
        <v>10.33</v>
      </c>
      <c r="L24" s="44"/>
    </row>
    <row r="25" spans="1:16" x14ac:dyDescent="0.25">
      <c r="A25" s="38"/>
      <c r="B25" s="34" t="s">
        <v>127</v>
      </c>
      <c r="C25" s="57">
        <v>44775</v>
      </c>
      <c r="D25" s="56"/>
      <c r="E25" s="44">
        <f>21.45-0.34</f>
        <v>21.11</v>
      </c>
      <c r="F25" s="55">
        <v>171600</v>
      </c>
      <c r="G25" s="55">
        <f>57185</f>
        <v>57185</v>
      </c>
      <c r="H25" s="47">
        <f>SUM((F25-G25)-(I25*$B$5)+(J25*$H$6))/K25</f>
        <v>5651.7438536306463</v>
      </c>
      <c r="I25" s="46">
        <v>3.62</v>
      </c>
      <c r="J25" s="46">
        <v>0</v>
      </c>
      <c r="K25" s="46">
        <v>17.489999999999998</v>
      </c>
      <c r="L25" s="44"/>
    </row>
    <row r="26" spans="1:16" x14ac:dyDescent="0.25">
      <c r="A26" s="38"/>
      <c r="B26" s="43" t="s">
        <v>110</v>
      </c>
      <c r="C26" s="54">
        <v>44196</v>
      </c>
      <c r="D26" s="51"/>
      <c r="E26" s="50">
        <v>40</v>
      </c>
      <c r="F26" s="49">
        <v>340000</v>
      </c>
      <c r="G26" s="53">
        <v>170262</v>
      </c>
      <c r="H26" s="47">
        <f>SUM((F26-G26)-(I26*$B$5)+(J26*$H$6))/K26</f>
        <v>6340.6276505513151</v>
      </c>
      <c r="I26" s="46">
        <v>12.2</v>
      </c>
      <c r="J26" s="46">
        <v>4.54</v>
      </c>
      <c r="K26" s="46">
        <v>23.58</v>
      </c>
      <c r="L26" s="44"/>
    </row>
    <row r="27" spans="1:16" x14ac:dyDescent="0.25">
      <c r="A27" s="34"/>
      <c r="B27" s="43"/>
      <c r="C27" s="52"/>
      <c r="D27" s="51"/>
      <c r="E27" s="50"/>
      <c r="F27" s="49"/>
      <c r="G27" s="48"/>
      <c r="H27" s="47"/>
      <c r="I27" s="46"/>
      <c r="J27" s="46"/>
      <c r="K27" s="45"/>
      <c r="L27" s="44"/>
      <c r="O27" s="1"/>
      <c r="P27" s="1"/>
    </row>
    <row r="28" spans="1:16" x14ac:dyDescent="0.25">
      <c r="A28" s="43"/>
      <c r="B28" s="43"/>
      <c r="C28" s="41"/>
      <c r="D28" s="40"/>
      <c r="E28" s="34"/>
      <c r="F28" s="38"/>
      <c r="G28" s="38"/>
      <c r="H28" s="38">
        <f>AVERAGE(H24:H27)</f>
        <v>6320.7872745466166</v>
      </c>
      <c r="I28" s="36"/>
      <c r="J28" s="42"/>
      <c r="K28" s="42"/>
    </row>
    <row r="29" spans="1:16" x14ac:dyDescent="0.25">
      <c r="A29" s="37"/>
      <c r="B29" s="41"/>
      <c r="C29" s="40"/>
      <c r="D29" s="34"/>
      <c r="E29" s="39"/>
      <c r="F29" s="38"/>
      <c r="G29" s="38"/>
      <c r="H29" s="36"/>
      <c r="I29" s="36" t="s">
        <v>578</v>
      </c>
      <c r="J29" s="36"/>
      <c r="K29" s="34"/>
      <c r="M29" s="1"/>
      <c r="N29" s="1"/>
    </row>
    <row r="30" spans="1:16" x14ac:dyDescent="0.25">
      <c r="B30" s="37"/>
      <c r="C30" s="37"/>
      <c r="D30" s="37"/>
      <c r="E30" s="37"/>
      <c r="F30" s="37"/>
      <c r="G30" s="37"/>
      <c r="H30" s="37"/>
      <c r="I30" s="36"/>
      <c r="J30" s="36"/>
      <c r="K30" s="34"/>
    </row>
  </sheetData>
  <mergeCells count="1">
    <mergeCell ref="O14:P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320F1-04CA-4D7B-A49F-5B41DC83A878}">
  <dimension ref="A1:BJ25"/>
  <sheetViews>
    <sheetView workbookViewId="0">
      <selection activeCell="C28" sqref="C28"/>
    </sheetView>
  </sheetViews>
  <sheetFormatPr defaultRowHeight="15" x14ac:dyDescent="0.25"/>
  <cols>
    <col min="1" max="1" width="17" bestFit="1" customWidth="1"/>
    <col min="2" max="2" width="22.5703125" bestFit="1" customWidth="1"/>
    <col min="3" max="3" width="9.5703125" style="25" bestFit="1" customWidth="1"/>
    <col min="4" max="4" width="11.42578125" style="9" bestFit="1" customWidth="1"/>
    <col min="5" max="5" width="5.85546875" bestFit="1" customWidth="1"/>
    <col min="6" max="6" width="31.140625" bestFit="1" customWidth="1"/>
    <col min="7" max="7" width="11.42578125" style="9" bestFit="1" customWidth="1"/>
    <col min="8" max="8" width="15" style="9" bestFit="1" customWidth="1"/>
    <col min="9" max="9" width="13.28515625" style="23" bestFit="1" customWidth="1"/>
    <col min="10" max="10" width="13.7109375" style="9" bestFit="1" customWidth="1"/>
    <col min="11" max="11" width="13.5703125" style="9" bestFit="1" customWidth="1"/>
    <col min="12" max="12" width="14.85546875" style="9" bestFit="1" customWidth="1"/>
    <col min="13" max="13" width="11.42578125" style="27" bestFit="1" customWidth="1"/>
    <col min="14" max="14" width="6.5703125" style="29" bestFit="1" customWidth="1"/>
    <col min="15" max="15" width="14.7109375" style="31" customWidth="1"/>
    <col min="16" max="16" width="11" style="31" bestFit="1" customWidth="1"/>
    <col min="17" max="17" width="12.140625" style="33" bestFit="1" customWidth="1"/>
    <col min="18" max="18" width="12.140625" style="31" bestFit="1" customWidth="1"/>
    <col min="19" max="19" width="9" style="35" bestFit="1" customWidth="1"/>
    <col min="20" max="20" width="10.7109375" bestFit="1" customWidth="1"/>
    <col min="21" max="21" width="28.42578125" bestFit="1" customWidth="1"/>
    <col min="22" max="22" width="30.5703125" bestFit="1" customWidth="1"/>
    <col min="23" max="23" width="7" bestFit="1" customWidth="1"/>
    <col min="24" max="24" width="6.5703125" bestFit="1" customWidth="1"/>
    <col min="25" max="25" width="15.28515625" bestFit="1" customWidth="1"/>
    <col min="26" max="26" width="19.5703125" bestFit="1" customWidth="1"/>
    <col min="27" max="27" width="5.5703125" bestFit="1" customWidth="1"/>
  </cols>
  <sheetData>
    <row r="1" spans="1:62" x14ac:dyDescent="0.25">
      <c r="A1" s="16" t="s">
        <v>52</v>
      </c>
      <c r="B1" s="16" t="s">
        <v>53</v>
      </c>
      <c r="C1" s="24" t="s">
        <v>54</v>
      </c>
      <c r="D1" s="21" t="s">
        <v>55</v>
      </c>
      <c r="E1" s="16" t="s">
        <v>56</v>
      </c>
      <c r="F1" s="16" t="s">
        <v>57</v>
      </c>
      <c r="G1" s="21" t="s">
        <v>58</v>
      </c>
      <c r="H1" s="21" t="s">
        <v>59</v>
      </c>
      <c r="I1" s="22" t="s">
        <v>60</v>
      </c>
      <c r="J1" s="21" t="s">
        <v>61</v>
      </c>
      <c r="K1" s="21" t="s">
        <v>62</v>
      </c>
      <c r="L1" s="21" t="s">
        <v>63</v>
      </c>
      <c r="M1" s="26" t="s">
        <v>64</v>
      </c>
      <c r="N1" s="28" t="s">
        <v>65</v>
      </c>
      <c r="O1" s="30" t="s">
        <v>66</v>
      </c>
      <c r="P1" s="30" t="s">
        <v>67</v>
      </c>
      <c r="Q1" s="32" t="s">
        <v>70</v>
      </c>
      <c r="R1" s="30" t="s">
        <v>71</v>
      </c>
      <c r="S1" s="17" t="s">
        <v>72</v>
      </c>
      <c r="T1" s="16" t="s">
        <v>73</v>
      </c>
      <c r="U1" s="16" t="s">
        <v>74</v>
      </c>
      <c r="V1" s="16" t="s">
        <v>75</v>
      </c>
      <c r="W1" s="16" t="s">
        <v>76</v>
      </c>
      <c r="X1" s="16" t="s">
        <v>77</v>
      </c>
      <c r="Y1" s="16" t="s">
        <v>78</v>
      </c>
      <c r="Z1" s="16" t="s">
        <v>79</v>
      </c>
      <c r="AA1" s="16" t="s">
        <v>80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x14ac:dyDescent="0.25">
      <c r="A2" t="s">
        <v>567</v>
      </c>
      <c r="B2" t="s">
        <v>568</v>
      </c>
      <c r="C2" s="25">
        <v>43643</v>
      </c>
      <c r="D2" s="9">
        <v>8000</v>
      </c>
      <c r="E2" t="s">
        <v>83</v>
      </c>
      <c r="F2" t="s">
        <v>84</v>
      </c>
      <c r="G2" s="9">
        <v>8000</v>
      </c>
      <c r="H2" s="9">
        <v>4000</v>
      </c>
      <c r="I2" s="23">
        <f t="shared" ref="I2:I11" si="0">H2/G2*100</f>
        <v>50</v>
      </c>
      <c r="J2" s="9">
        <v>0</v>
      </c>
      <c r="K2" s="9">
        <f t="shared" ref="K2:K11" si="1">G2-0</f>
        <v>8000</v>
      </c>
      <c r="L2" s="9">
        <v>0</v>
      </c>
      <c r="M2" s="27">
        <v>160</v>
      </c>
      <c r="N2" s="29">
        <v>100</v>
      </c>
      <c r="O2" s="31">
        <v>0.36699999999999999</v>
      </c>
      <c r="P2" s="31">
        <v>0</v>
      </c>
      <c r="Q2" s="33">
        <f t="shared" ref="Q2:Q11" si="2">K2/O2/43560</f>
        <v>0.50042160520238299</v>
      </c>
      <c r="R2" s="31">
        <v>160</v>
      </c>
      <c r="S2" s="18" t="s">
        <v>569</v>
      </c>
      <c r="T2" t="s">
        <v>570</v>
      </c>
      <c r="W2">
        <v>0</v>
      </c>
      <c r="X2">
        <v>0</v>
      </c>
      <c r="Y2" t="s">
        <v>89</v>
      </c>
      <c r="Z2" t="s">
        <v>571</v>
      </c>
      <c r="AA2" s="19" t="s">
        <v>163</v>
      </c>
    </row>
    <row r="3" spans="1:62" x14ac:dyDescent="0.25">
      <c r="A3" t="s">
        <v>519</v>
      </c>
      <c r="B3" t="s">
        <v>520</v>
      </c>
      <c r="C3" s="25">
        <v>43619</v>
      </c>
      <c r="D3" s="9">
        <v>4000</v>
      </c>
      <c r="E3" t="s">
        <v>83</v>
      </c>
      <c r="F3" t="s">
        <v>84</v>
      </c>
      <c r="G3" s="9">
        <v>4000</v>
      </c>
      <c r="H3" s="9">
        <v>11200</v>
      </c>
      <c r="I3" s="23">
        <f t="shared" si="0"/>
        <v>280</v>
      </c>
      <c r="J3" s="9">
        <v>5031</v>
      </c>
      <c r="K3" s="9">
        <f t="shared" si="1"/>
        <v>4000</v>
      </c>
      <c r="L3" s="9">
        <v>5031</v>
      </c>
      <c r="M3" s="27">
        <v>0</v>
      </c>
      <c r="N3" s="29">
        <v>0</v>
      </c>
      <c r="O3" s="31">
        <v>0.11</v>
      </c>
      <c r="P3" s="31">
        <v>0.11</v>
      </c>
      <c r="Q3" s="33">
        <f t="shared" si="2"/>
        <v>0.83479422322397523</v>
      </c>
      <c r="R3" s="31">
        <v>0</v>
      </c>
      <c r="S3" s="18" t="s">
        <v>521</v>
      </c>
      <c r="T3" t="s">
        <v>522</v>
      </c>
      <c r="V3" t="s">
        <v>523</v>
      </c>
      <c r="W3">
        <v>0</v>
      </c>
      <c r="X3">
        <v>1</v>
      </c>
      <c r="Y3" s="20">
        <v>43909</v>
      </c>
      <c r="Z3" t="s">
        <v>524</v>
      </c>
      <c r="AA3" s="19" t="s">
        <v>525</v>
      </c>
    </row>
    <row r="4" spans="1:62" x14ac:dyDescent="0.25">
      <c r="A4" t="s">
        <v>166</v>
      </c>
      <c r="B4" t="s">
        <v>98</v>
      </c>
      <c r="C4" s="25">
        <v>44334</v>
      </c>
      <c r="D4" s="9">
        <v>285000</v>
      </c>
      <c r="E4" t="s">
        <v>106</v>
      </c>
      <c r="F4" t="s">
        <v>84</v>
      </c>
      <c r="G4" s="9">
        <v>285000</v>
      </c>
      <c r="H4" s="9">
        <v>98700</v>
      </c>
      <c r="I4" s="23">
        <v>34.631578947368418</v>
      </c>
      <c r="J4" s="9">
        <v>227558</v>
      </c>
      <c r="K4" s="9">
        <v>184618</v>
      </c>
      <c r="L4" s="9">
        <v>127176</v>
      </c>
      <c r="M4" s="27">
        <v>0</v>
      </c>
      <c r="N4" s="29">
        <v>0</v>
      </c>
      <c r="O4" s="31">
        <v>23.588000000000001</v>
      </c>
      <c r="P4" s="31">
        <v>23.588000000000001</v>
      </c>
      <c r="Q4" s="9" t="e">
        <v>#DIV/0!</v>
      </c>
      <c r="R4" s="9">
        <v>7826.7763269459047</v>
      </c>
      <c r="S4" s="33">
        <v>0.17967806076551662</v>
      </c>
      <c r="T4" s="31">
        <v>0</v>
      </c>
      <c r="U4" s="18" t="s">
        <v>165</v>
      </c>
      <c r="V4" t="s">
        <v>164</v>
      </c>
      <c r="X4" t="s">
        <v>159</v>
      </c>
      <c r="Y4">
        <v>0</v>
      </c>
      <c r="Z4">
        <v>0</v>
      </c>
      <c r="AA4" t="s">
        <v>89</v>
      </c>
      <c r="AC4" s="19" t="s">
        <v>163</v>
      </c>
    </row>
    <row r="5" spans="1:62" x14ac:dyDescent="0.25">
      <c r="A5" t="s">
        <v>531</v>
      </c>
      <c r="B5" t="s">
        <v>572</v>
      </c>
      <c r="C5" s="25">
        <v>43922</v>
      </c>
      <c r="D5" s="9">
        <v>2625000</v>
      </c>
      <c r="E5" t="s">
        <v>83</v>
      </c>
      <c r="F5" t="s">
        <v>84</v>
      </c>
      <c r="G5" s="9">
        <v>2625000</v>
      </c>
      <c r="H5" s="9">
        <v>472500</v>
      </c>
      <c r="I5" s="23">
        <v>18</v>
      </c>
      <c r="J5" s="9">
        <v>945000</v>
      </c>
      <c r="K5" s="9">
        <v>2625000</v>
      </c>
      <c r="L5" s="9">
        <v>945000</v>
      </c>
      <c r="M5" s="27">
        <v>0</v>
      </c>
      <c r="N5" s="29">
        <v>0</v>
      </c>
      <c r="O5" s="31">
        <v>30</v>
      </c>
      <c r="P5" s="31">
        <v>30</v>
      </c>
      <c r="Q5" s="9" t="e">
        <v>#DIV/0!</v>
      </c>
      <c r="R5" s="9">
        <v>87500</v>
      </c>
      <c r="S5" s="33">
        <v>2.0087235996326904</v>
      </c>
      <c r="T5" s="31">
        <v>0</v>
      </c>
      <c r="U5" s="18" t="s">
        <v>573</v>
      </c>
      <c r="W5" t="s">
        <v>533</v>
      </c>
      <c r="Y5">
        <v>0</v>
      </c>
      <c r="Z5">
        <v>0</v>
      </c>
      <c r="AA5" t="s">
        <v>89</v>
      </c>
      <c r="AC5" s="19" t="s">
        <v>163</v>
      </c>
    </row>
    <row r="6" spans="1:62" x14ac:dyDescent="0.25">
      <c r="A6" t="s">
        <v>534</v>
      </c>
      <c r="B6" t="s">
        <v>535</v>
      </c>
      <c r="C6" s="25">
        <v>44194</v>
      </c>
      <c r="D6" s="9">
        <v>10000</v>
      </c>
      <c r="E6" t="s">
        <v>83</v>
      </c>
      <c r="F6" t="s">
        <v>84</v>
      </c>
      <c r="G6" s="9">
        <v>10000</v>
      </c>
      <c r="H6" s="9">
        <v>30500</v>
      </c>
      <c r="I6" s="23">
        <f t="shared" si="0"/>
        <v>305</v>
      </c>
      <c r="J6" s="9">
        <v>15685</v>
      </c>
      <c r="K6" s="9">
        <f t="shared" si="1"/>
        <v>10000</v>
      </c>
      <c r="L6" s="9">
        <v>15685</v>
      </c>
      <c r="M6" s="27">
        <v>68.686000000000007</v>
      </c>
      <c r="N6" s="29">
        <v>257.39999399999999</v>
      </c>
      <c r="O6" s="31">
        <v>3.9</v>
      </c>
      <c r="P6" s="31">
        <v>3.9</v>
      </c>
      <c r="Q6" s="33">
        <f t="shared" si="2"/>
        <v>5.8863695227331585E-2</v>
      </c>
      <c r="R6" s="31">
        <v>68.686000000000007</v>
      </c>
      <c r="S6" s="18" t="s">
        <v>536</v>
      </c>
      <c r="T6" t="s">
        <v>537</v>
      </c>
      <c r="V6" t="s">
        <v>538</v>
      </c>
      <c r="W6">
        <v>0</v>
      </c>
      <c r="X6">
        <v>0</v>
      </c>
      <c r="Y6" s="20">
        <v>44355</v>
      </c>
      <c r="Z6" t="s">
        <v>524</v>
      </c>
      <c r="AA6" s="19" t="s">
        <v>539</v>
      </c>
    </row>
    <row r="7" spans="1:62" x14ac:dyDescent="0.25">
      <c r="A7" t="s">
        <v>540</v>
      </c>
      <c r="B7" t="s">
        <v>541</v>
      </c>
      <c r="C7" s="25">
        <v>43644</v>
      </c>
      <c r="D7" s="9">
        <v>65000</v>
      </c>
      <c r="E7" t="s">
        <v>83</v>
      </c>
      <c r="F7" t="s">
        <v>532</v>
      </c>
      <c r="G7" s="9">
        <v>65000</v>
      </c>
      <c r="H7" s="9">
        <v>17700</v>
      </c>
      <c r="I7" s="23">
        <f t="shared" si="0"/>
        <v>27.23076923076923</v>
      </c>
      <c r="J7" s="9">
        <v>74540</v>
      </c>
      <c r="K7" s="9">
        <f t="shared" si="1"/>
        <v>65000</v>
      </c>
      <c r="L7" s="9">
        <v>74540</v>
      </c>
      <c r="M7" s="27">
        <v>0</v>
      </c>
      <c r="N7" s="29">
        <v>0</v>
      </c>
      <c r="O7" s="31">
        <v>3.91</v>
      </c>
      <c r="P7" s="31">
        <v>1.1499999999999999</v>
      </c>
      <c r="Q7" s="33">
        <f t="shared" si="2"/>
        <v>0.38163546649945157</v>
      </c>
      <c r="R7" s="31">
        <v>0</v>
      </c>
      <c r="S7" s="18" t="s">
        <v>542</v>
      </c>
      <c r="T7" t="s">
        <v>543</v>
      </c>
      <c r="U7" t="s">
        <v>544</v>
      </c>
      <c r="V7" t="s">
        <v>545</v>
      </c>
      <c r="W7">
        <v>0</v>
      </c>
      <c r="X7">
        <v>0</v>
      </c>
      <c r="Y7" s="20">
        <v>43972</v>
      </c>
      <c r="Z7" t="s">
        <v>524</v>
      </c>
      <c r="AA7" s="19" t="s">
        <v>539</v>
      </c>
    </row>
    <row r="8" spans="1:62" x14ac:dyDescent="0.25">
      <c r="A8" t="s">
        <v>546</v>
      </c>
      <c r="B8" t="s">
        <v>547</v>
      </c>
      <c r="C8" s="25">
        <v>43818</v>
      </c>
      <c r="D8" s="9">
        <v>273000</v>
      </c>
      <c r="E8" t="s">
        <v>83</v>
      </c>
      <c r="F8" t="s">
        <v>84</v>
      </c>
      <c r="G8" s="9">
        <v>273000</v>
      </c>
      <c r="H8" s="9">
        <v>80700</v>
      </c>
      <c r="I8" s="23">
        <f t="shared" si="0"/>
        <v>29.560439560439562</v>
      </c>
      <c r="J8" s="9">
        <v>281062</v>
      </c>
      <c r="K8" s="9">
        <f t="shared" si="1"/>
        <v>273000</v>
      </c>
      <c r="L8" s="9">
        <v>267001</v>
      </c>
      <c r="M8" s="27">
        <v>0</v>
      </c>
      <c r="N8" s="29">
        <v>0</v>
      </c>
      <c r="O8" s="31">
        <v>22.54</v>
      </c>
      <c r="P8" s="31">
        <v>13.59</v>
      </c>
      <c r="Q8" s="33">
        <f t="shared" si="2"/>
        <v>0.27804869702102908</v>
      </c>
      <c r="R8" s="31">
        <v>0</v>
      </c>
      <c r="S8" s="18" t="s">
        <v>548</v>
      </c>
      <c r="T8" t="s">
        <v>549</v>
      </c>
      <c r="U8" t="s">
        <v>550</v>
      </c>
      <c r="V8" t="s">
        <v>551</v>
      </c>
      <c r="W8">
        <v>0</v>
      </c>
      <c r="X8">
        <v>1</v>
      </c>
      <c r="Y8" s="20">
        <v>44011</v>
      </c>
      <c r="Z8" t="s">
        <v>524</v>
      </c>
      <c r="AA8" s="19" t="s">
        <v>90</v>
      </c>
    </row>
    <row r="9" spans="1:62" x14ac:dyDescent="0.25">
      <c r="A9" t="s">
        <v>552</v>
      </c>
      <c r="B9" t="s">
        <v>553</v>
      </c>
      <c r="C9" s="25">
        <v>43801</v>
      </c>
      <c r="D9" s="9">
        <v>72000</v>
      </c>
      <c r="E9" t="s">
        <v>83</v>
      </c>
      <c r="F9" t="s">
        <v>84</v>
      </c>
      <c r="G9" s="9">
        <v>72000</v>
      </c>
      <c r="H9" s="9">
        <v>42800</v>
      </c>
      <c r="I9" s="23">
        <f t="shared" si="0"/>
        <v>59.444444444444443</v>
      </c>
      <c r="J9" s="9">
        <v>97749</v>
      </c>
      <c r="K9" s="9">
        <f t="shared" si="1"/>
        <v>72000</v>
      </c>
      <c r="L9" s="9">
        <v>97749</v>
      </c>
      <c r="M9" s="27">
        <v>0</v>
      </c>
      <c r="N9" s="29">
        <v>0</v>
      </c>
      <c r="O9" s="31">
        <v>1.36</v>
      </c>
      <c r="P9" s="31">
        <v>1.36</v>
      </c>
      <c r="Q9" s="33">
        <f t="shared" si="2"/>
        <v>1.2153621779290227</v>
      </c>
      <c r="R9" s="31">
        <v>0</v>
      </c>
      <c r="S9" s="18" t="s">
        <v>554</v>
      </c>
      <c r="T9" t="s">
        <v>555</v>
      </c>
      <c r="V9" t="s">
        <v>556</v>
      </c>
      <c r="W9">
        <v>0</v>
      </c>
      <c r="X9">
        <v>1</v>
      </c>
      <c r="Y9" s="20">
        <v>43934</v>
      </c>
      <c r="Z9" t="s">
        <v>524</v>
      </c>
      <c r="AA9" s="19" t="s">
        <v>90</v>
      </c>
    </row>
    <row r="10" spans="1:62" x14ac:dyDescent="0.25">
      <c r="A10" t="s">
        <v>557</v>
      </c>
      <c r="B10" t="s">
        <v>558</v>
      </c>
      <c r="C10" s="25">
        <v>43790</v>
      </c>
      <c r="D10" s="9">
        <v>10000</v>
      </c>
      <c r="E10" t="s">
        <v>83</v>
      </c>
      <c r="F10" t="s">
        <v>84</v>
      </c>
      <c r="G10" s="9">
        <v>10000</v>
      </c>
      <c r="H10" s="9">
        <v>6200</v>
      </c>
      <c r="I10" s="23">
        <f t="shared" si="0"/>
        <v>62</v>
      </c>
      <c r="J10" s="9">
        <v>8952</v>
      </c>
      <c r="K10" s="9">
        <f t="shared" si="1"/>
        <v>10000</v>
      </c>
      <c r="L10" s="9">
        <v>10071</v>
      </c>
      <c r="M10" s="27">
        <v>0</v>
      </c>
      <c r="N10" s="29">
        <v>0</v>
      </c>
      <c r="O10" s="31">
        <v>1.284</v>
      </c>
      <c r="P10" s="31">
        <v>1.284</v>
      </c>
      <c r="Q10" s="33">
        <f t="shared" si="2"/>
        <v>0.17879159765310998</v>
      </c>
      <c r="R10" s="31">
        <v>0</v>
      </c>
      <c r="S10" s="18" t="s">
        <v>554</v>
      </c>
      <c r="T10" t="s">
        <v>559</v>
      </c>
      <c r="V10" t="s">
        <v>556</v>
      </c>
      <c r="W10">
        <v>0</v>
      </c>
      <c r="X10">
        <v>1</v>
      </c>
      <c r="Y10" s="20">
        <v>43934</v>
      </c>
      <c r="Z10" t="s">
        <v>560</v>
      </c>
      <c r="AA10" s="19" t="s">
        <v>539</v>
      </c>
    </row>
    <row r="11" spans="1:62" ht="15.75" thickBot="1" x14ac:dyDescent="0.3">
      <c r="A11" t="s">
        <v>562</v>
      </c>
      <c r="B11" t="s">
        <v>563</v>
      </c>
      <c r="C11" s="25">
        <v>43595</v>
      </c>
      <c r="D11" s="9">
        <v>55000</v>
      </c>
      <c r="E11" t="s">
        <v>83</v>
      </c>
      <c r="F11" t="s">
        <v>84</v>
      </c>
      <c r="G11" s="9">
        <v>55000</v>
      </c>
      <c r="H11" s="9">
        <v>54500</v>
      </c>
      <c r="I11" s="23">
        <f t="shared" si="0"/>
        <v>99.090909090909093</v>
      </c>
      <c r="J11" s="9">
        <v>78408</v>
      </c>
      <c r="K11" s="9">
        <f t="shared" si="1"/>
        <v>55000</v>
      </c>
      <c r="L11" s="9">
        <v>78408</v>
      </c>
      <c r="M11" s="27">
        <v>0</v>
      </c>
      <c r="N11" s="29">
        <v>0</v>
      </c>
      <c r="O11" s="31">
        <v>2</v>
      </c>
      <c r="P11" s="31">
        <v>2</v>
      </c>
      <c r="Q11" s="33">
        <f t="shared" si="2"/>
        <v>0.63131313131313127</v>
      </c>
      <c r="R11" s="31">
        <v>0</v>
      </c>
      <c r="S11" s="18" t="s">
        <v>554</v>
      </c>
      <c r="T11" t="s">
        <v>564</v>
      </c>
      <c r="V11" t="s">
        <v>561</v>
      </c>
      <c r="W11">
        <v>0</v>
      </c>
      <c r="X11">
        <v>1</v>
      </c>
      <c r="Y11" s="20">
        <v>43934</v>
      </c>
      <c r="Z11" t="s">
        <v>524</v>
      </c>
      <c r="AA11" s="19" t="s">
        <v>90</v>
      </c>
    </row>
    <row r="12" spans="1:62" ht="15.75" thickTop="1" x14ac:dyDescent="0.25">
      <c r="A12" s="85"/>
      <c r="B12" s="85"/>
      <c r="C12" s="97" t="s">
        <v>113</v>
      </c>
      <c r="D12" s="91">
        <f>+SUM(D2:D11)</f>
        <v>3407000</v>
      </c>
      <c r="E12" s="85"/>
      <c r="F12" s="85"/>
      <c r="G12" s="91">
        <f>+SUM(G2:G11)</f>
        <v>3407000</v>
      </c>
      <c r="H12" s="91">
        <f>+SUM(H2:H11)</f>
        <v>818800</v>
      </c>
      <c r="I12" s="94"/>
      <c r="J12" s="91">
        <f>+SUM(J2:J11)</f>
        <v>1733985</v>
      </c>
      <c r="K12" s="91">
        <f>+SUM(K2:K11)</f>
        <v>3306618</v>
      </c>
      <c r="L12" s="91">
        <f>+SUM(L2:L11)</f>
        <v>1620661</v>
      </c>
      <c r="M12" s="100">
        <f>+SUM(M2:M11)</f>
        <v>228.68600000000001</v>
      </c>
      <c r="N12" s="102"/>
      <c r="O12" s="105">
        <f>+SUM(O2:O11)</f>
        <v>89.058999999999997</v>
      </c>
      <c r="P12" s="105">
        <f>+SUM(P2:P11)</f>
        <v>76.981999999999999</v>
      </c>
      <c r="Q12" s="108"/>
      <c r="R12" s="105"/>
      <c r="S12" s="86"/>
      <c r="T12" s="85"/>
      <c r="U12" s="85"/>
      <c r="V12" s="85"/>
      <c r="W12" s="85"/>
      <c r="X12" s="85"/>
      <c r="Y12" s="85"/>
      <c r="Z12" s="85"/>
      <c r="AA12" s="85"/>
    </row>
    <row r="13" spans="1:62" x14ac:dyDescent="0.25">
      <c r="A13" s="87"/>
      <c r="B13" s="87"/>
      <c r="C13" s="98"/>
      <c r="D13" s="92"/>
      <c r="E13" s="87"/>
      <c r="F13" s="87"/>
      <c r="G13" s="92"/>
      <c r="H13" s="92" t="s">
        <v>114</v>
      </c>
      <c r="I13" s="95">
        <f>H12/G12*100</f>
        <v>24.032873495744056</v>
      </c>
      <c r="J13" s="92"/>
      <c r="K13" s="92"/>
      <c r="L13" s="92" t="s">
        <v>115</v>
      </c>
      <c r="M13" s="101"/>
      <c r="N13" s="103"/>
      <c r="O13" s="106" t="s">
        <v>115</v>
      </c>
      <c r="P13" s="106"/>
      <c r="Q13" s="109"/>
      <c r="R13" s="106"/>
      <c r="S13" s="88"/>
      <c r="T13" s="87"/>
      <c r="U13" s="87"/>
      <c r="V13" s="87"/>
      <c r="W13" s="87"/>
      <c r="X13" s="87"/>
      <c r="Y13" s="87"/>
      <c r="Z13" s="87"/>
      <c r="AA13" s="87"/>
    </row>
    <row r="14" spans="1:62" x14ac:dyDescent="0.25">
      <c r="A14" s="89"/>
      <c r="B14" s="89"/>
      <c r="C14" s="99"/>
      <c r="D14" s="93"/>
      <c r="E14" s="89"/>
      <c r="F14" s="89"/>
      <c r="G14" s="93"/>
      <c r="H14" s="93" t="s">
        <v>116</v>
      </c>
      <c r="I14" s="96">
        <f>STDEV(I2:I11)</f>
        <v>106.01148231257316</v>
      </c>
      <c r="J14" s="93"/>
      <c r="K14" s="93"/>
      <c r="L14" s="93" t="s">
        <v>117</v>
      </c>
      <c r="M14" s="111">
        <f>K12/M12</f>
        <v>14459.206072955931</v>
      </c>
      <c r="N14" s="104"/>
      <c r="O14" s="107" t="s">
        <v>118</v>
      </c>
      <c r="P14" s="107">
        <f>K12/O12</f>
        <v>37128.39802827339</v>
      </c>
      <c r="Q14" s="110">
        <f>K12/O12/43560</f>
        <v>0.85235073526798422</v>
      </c>
      <c r="R14" s="107"/>
      <c r="S14" s="90"/>
      <c r="T14" s="89"/>
      <c r="U14" s="89"/>
      <c r="V14" s="89"/>
      <c r="W14" s="89"/>
      <c r="X14" s="89"/>
      <c r="Y14" s="89"/>
      <c r="Z14" s="89"/>
      <c r="AA14" s="89"/>
    </row>
    <row r="17" spans="1:27" x14ac:dyDescent="0.25">
      <c r="A17" t="s">
        <v>526</v>
      </c>
      <c r="B17" t="s">
        <v>527</v>
      </c>
      <c r="C17" s="25">
        <v>44029</v>
      </c>
      <c r="D17" s="9">
        <v>47500</v>
      </c>
      <c r="E17" t="s">
        <v>229</v>
      </c>
      <c r="F17" t="s">
        <v>84</v>
      </c>
      <c r="G17" s="9">
        <v>47500</v>
      </c>
      <c r="H17" s="9">
        <v>15600</v>
      </c>
      <c r="I17" s="23">
        <f>H17/G17*100</f>
        <v>32.842105263157897</v>
      </c>
      <c r="J17" s="9">
        <v>72928</v>
      </c>
      <c r="K17" s="9">
        <f>G17-0</f>
        <v>47500</v>
      </c>
      <c r="L17" s="9">
        <v>80909</v>
      </c>
      <c r="M17" s="27">
        <v>0</v>
      </c>
      <c r="N17" s="29">
        <v>0</v>
      </c>
      <c r="O17" s="31">
        <v>19.161999999999999</v>
      </c>
      <c r="P17" s="31">
        <v>19.161999999999999</v>
      </c>
      <c r="Q17" s="33">
        <f>K17/O17/43560</f>
        <v>5.690689667499832E-2</v>
      </c>
      <c r="R17" s="31">
        <v>0</v>
      </c>
      <c r="S17" s="18" t="s">
        <v>528</v>
      </c>
      <c r="T17" t="s">
        <v>529</v>
      </c>
      <c r="V17" t="s">
        <v>530</v>
      </c>
      <c r="W17">
        <v>0</v>
      </c>
      <c r="X17">
        <v>0</v>
      </c>
      <c r="Y17" s="20">
        <v>44356</v>
      </c>
      <c r="Z17" t="s">
        <v>524</v>
      </c>
      <c r="AA17" s="19" t="s">
        <v>163</v>
      </c>
    </row>
    <row r="18" spans="1:27" x14ac:dyDescent="0.25">
      <c r="A18" t="s">
        <v>534</v>
      </c>
      <c r="B18" t="s">
        <v>535</v>
      </c>
      <c r="C18" s="25">
        <v>44194</v>
      </c>
      <c r="D18" s="9">
        <v>10000</v>
      </c>
      <c r="E18" t="s">
        <v>83</v>
      </c>
      <c r="F18" t="s">
        <v>84</v>
      </c>
      <c r="G18" s="9">
        <v>10000</v>
      </c>
      <c r="H18" s="9">
        <v>30500</v>
      </c>
      <c r="I18" s="23">
        <f>H18/G18*100</f>
        <v>305</v>
      </c>
      <c r="J18" s="9">
        <v>15685</v>
      </c>
      <c r="K18" s="9">
        <f>G18-0</f>
        <v>10000</v>
      </c>
      <c r="L18" s="9">
        <v>15685</v>
      </c>
      <c r="M18" s="27">
        <v>68.686000000000007</v>
      </c>
      <c r="N18" s="29">
        <v>257.39999399999999</v>
      </c>
      <c r="O18" s="31">
        <v>3.9</v>
      </c>
      <c r="P18" s="31">
        <v>3.9</v>
      </c>
      <c r="Q18" s="33">
        <f>K18/O18/43560</f>
        <v>5.8863695227331585E-2</v>
      </c>
      <c r="R18" s="31">
        <v>68.686000000000007</v>
      </c>
      <c r="S18" s="18" t="s">
        <v>536</v>
      </c>
      <c r="T18" t="s">
        <v>537</v>
      </c>
      <c r="V18" t="s">
        <v>538</v>
      </c>
      <c r="W18">
        <v>0</v>
      </c>
      <c r="X18">
        <v>0</v>
      </c>
      <c r="Y18" s="20">
        <v>44355</v>
      </c>
      <c r="Z18" t="s">
        <v>524</v>
      </c>
      <c r="AA18" s="19" t="s">
        <v>539</v>
      </c>
    </row>
    <row r="19" spans="1:27" x14ac:dyDescent="0.25">
      <c r="A19" t="s">
        <v>557</v>
      </c>
      <c r="B19" t="s">
        <v>558</v>
      </c>
      <c r="C19" s="25">
        <v>43790</v>
      </c>
      <c r="D19" s="9">
        <v>10000</v>
      </c>
      <c r="E19" t="s">
        <v>83</v>
      </c>
      <c r="F19" t="s">
        <v>84</v>
      </c>
      <c r="G19" s="9">
        <v>10000</v>
      </c>
      <c r="H19" s="9">
        <v>6200</v>
      </c>
      <c r="I19" s="23">
        <f>H19/G19*100</f>
        <v>62</v>
      </c>
      <c r="J19" s="9">
        <v>8952</v>
      </c>
      <c r="K19" s="9">
        <f>G19-0</f>
        <v>10000</v>
      </c>
      <c r="L19" s="9">
        <v>10071</v>
      </c>
      <c r="M19" s="27">
        <v>0</v>
      </c>
      <c r="N19" s="29">
        <v>0</v>
      </c>
      <c r="O19" s="31">
        <v>1.284</v>
      </c>
      <c r="P19" s="31">
        <v>1.284</v>
      </c>
      <c r="Q19" s="33">
        <f>K19/O19/43560</f>
        <v>0.17879159765310998</v>
      </c>
      <c r="R19" s="31">
        <v>0</v>
      </c>
      <c r="S19" s="18" t="s">
        <v>554</v>
      </c>
      <c r="T19" t="s">
        <v>559</v>
      </c>
      <c r="V19" t="s">
        <v>556</v>
      </c>
      <c r="W19">
        <v>0</v>
      </c>
      <c r="X19">
        <v>1</v>
      </c>
      <c r="Y19" s="20">
        <v>43934</v>
      </c>
      <c r="Z19" t="s">
        <v>560</v>
      </c>
      <c r="AA19" s="19" t="s">
        <v>539</v>
      </c>
    </row>
    <row r="20" spans="1:27" x14ac:dyDescent="0.25">
      <c r="A20" t="s">
        <v>546</v>
      </c>
      <c r="B20" t="s">
        <v>547</v>
      </c>
      <c r="C20" s="25">
        <v>43818</v>
      </c>
      <c r="D20" s="9">
        <v>273000</v>
      </c>
      <c r="E20" t="s">
        <v>83</v>
      </c>
      <c r="F20" t="s">
        <v>84</v>
      </c>
      <c r="G20" s="9">
        <v>273000</v>
      </c>
      <c r="H20" s="9">
        <v>80700</v>
      </c>
      <c r="I20" s="23">
        <f>H20/G20*100</f>
        <v>29.560439560439562</v>
      </c>
      <c r="J20" s="9">
        <v>281062</v>
      </c>
      <c r="K20" s="79">
        <f>G20-0</f>
        <v>273000</v>
      </c>
      <c r="L20" s="9">
        <v>267001</v>
      </c>
      <c r="M20" s="27">
        <v>0</v>
      </c>
      <c r="N20" s="29">
        <v>0</v>
      </c>
      <c r="O20" s="78">
        <v>22.54</v>
      </c>
      <c r="P20" s="31">
        <v>13.59</v>
      </c>
      <c r="Q20" s="33">
        <f>K20/O20/43560</f>
        <v>0.27804869702102908</v>
      </c>
      <c r="R20" s="31">
        <v>0</v>
      </c>
      <c r="S20" s="18" t="s">
        <v>548</v>
      </c>
      <c r="T20" t="s">
        <v>549</v>
      </c>
      <c r="U20" t="s">
        <v>550</v>
      </c>
      <c r="V20" t="s">
        <v>551</v>
      </c>
      <c r="W20">
        <v>0</v>
      </c>
      <c r="X20">
        <v>1</v>
      </c>
      <c r="Y20" s="20">
        <v>44011</v>
      </c>
      <c r="Z20" t="s">
        <v>524</v>
      </c>
      <c r="AA20" s="19" t="s">
        <v>90</v>
      </c>
    </row>
    <row r="21" spans="1:27" x14ac:dyDescent="0.25">
      <c r="K21" s="9">
        <f>SUM(K17:K20)</f>
        <v>340500</v>
      </c>
      <c r="O21" s="31">
        <f>SUM(O17:O20)</f>
        <v>46.885999999999996</v>
      </c>
      <c r="S21" s="18"/>
      <c r="Y21" s="20"/>
      <c r="AA21" s="19"/>
    </row>
    <row r="22" spans="1:27" x14ac:dyDescent="0.25">
      <c r="P22" s="31">
        <f>K21/O21/43560</f>
        <v>0.16671937055226504</v>
      </c>
    </row>
    <row r="23" spans="1:27" x14ac:dyDescent="0.25">
      <c r="A23" s="141">
        <v>2023</v>
      </c>
      <c r="B23" s="141"/>
      <c r="C23" s="141"/>
    </row>
    <row r="24" spans="1:27" x14ac:dyDescent="0.25">
      <c r="A24" s="138" t="s">
        <v>574</v>
      </c>
      <c r="B24" s="139">
        <v>0.85</v>
      </c>
      <c r="C24" s="140" t="s">
        <v>576</v>
      </c>
    </row>
    <row r="25" spans="1:27" x14ac:dyDescent="0.25">
      <c r="A25" s="138" t="s">
        <v>575</v>
      </c>
      <c r="B25" s="139">
        <v>0.17</v>
      </c>
      <c r="C25" s="140" t="s">
        <v>576</v>
      </c>
    </row>
  </sheetData>
  <mergeCells count="1">
    <mergeCell ref="A23:C23"/>
  </mergeCells>
  <conditionalFormatting sqref="A2:AA11 A17:AA21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0F0F4-3F4C-4B77-9045-8CDAEB3674F1}">
  <dimension ref="A1:R57"/>
  <sheetViews>
    <sheetView topLeftCell="A24" workbookViewId="0">
      <selection activeCell="I58" sqref="I58"/>
    </sheetView>
  </sheetViews>
  <sheetFormatPr defaultRowHeight="15" x14ac:dyDescent="0.25"/>
  <cols>
    <col min="1" max="1" width="13.42578125" customWidth="1"/>
    <col min="2" max="2" width="11.5703125" bestFit="1" customWidth="1"/>
    <col min="4" max="4" width="11.5703125" bestFit="1" customWidth="1"/>
    <col min="6" max="6" width="12.5703125" bestFit="1" customWidth="1"/>
    <col min="8" max="8" width="12.5703125" bestFit="1" customWidth="1"/>
    <col min="11" max="11" width="11.7109375" bestFit="1" customWidth="1"/>
    <col min="12" max="12" width="9" bestFit="1" customWidth="1"/>
    <col min="13" max="13" width="9.140625" customWidth="1"/>
    <col min="16" max="16" width="10" bestFit="1" customWidth="1"/>
    <col min="18" max="18" width="11.5703125" bestFit="1" customWidth="1"/>
  </cols>
  <sheetData>
    <row r="1" spans="1:8" ht="16.5" thickBot="1" x14ac:dyDescent="0.3">
      <c r="A1" s="142">
        <v>2022</v>
      </c>
      <c r="B1" s="142"/>
      <c r="C1" s="142"/>
      <c r="D1" s="142"/>
      <c r="E1" s="142"/>
      <c r="F1" s="142"/>
      <c r="G1" s="142"/>
      <c r="H1" s="142"/>
    </row>
    <row r="2" spans="1:8" ht="15.75" thickBot="1" x14ac:dyDescent="0.3">
      <c r="A2" s="128" t="s">
        <v>6</v>
      </c>
      <c r="B2" s="129"/>
      <c r="C2" s="129"/>
      <c r="D2" s="129"/>
      <c r="E2" s="129"/>
      <c r="F2" s="129"/>
      <c r="G2" s="129"/>
      <c r="H2" s="130"/>
    </row>
    <row r="3" spans="1:8" x14ac:dyDescent="0.25">
      <c r="A3" s="13" t="s">
        <v>41</v>
      </c>
    </row>
    <row r="4" spans="1:8" x14ac:dyDescent="0.25">
      <c r="A4" s="11">
        <v>1</v>
      </c>
      <c r="B4" s="12">
        <v>27300</v>
      </c>
      <c r="C4" s="11">
        <v>3</v>
      </c>
      <c r="D4" s="12">
        <v>46000</v>
      </c>
      <c r="E4" s="11">
        <v>10</v>
      </c>
      <c r="F4" s="12">
        <v>80900</v>
      </c>
      <c r="G4" s="11">
        <v>30</v>
      </c>
      <c r="H4" s="12">
        <v>135100</v>
      </c>
    </row>
    <row r="5" spans="1:8" x14ac:dyDescent="0.25">
      <c r="A5" s="11">
        <v>1.5</v>
      </c>
      <c r="B5" s="12">
        <v>33300</v>
      </c>
      <c r="C5" s="11">
        <v>4</v>
      </c>
      <c r="D5" s="12">
        <v>52700</v>
      </c>
      <c r="E5" s="11">
        <v>15</v>
      </c>
      <c r="F5" s="12">
        <v>97800</v>
      </c>
      <c r="G5" s="11">
        <v>40</v>
      </c>
      <c r="H5" s="12">
        <v>154600</v>
      </c>
    </row>
    <row r="6" spans="1:8" x14ac:dyDescent="0.25">
      <c r="A6" s="11">
        <v>2</v>
      </c>
      <c r="B6" s="12">
        <v>38100</v>
      </c>
      <c r="C6" s="11">
        <v>5</v>
      </c>
      <c r="D6" s="12">
        <v>58300</v>
      </c>
      <c r="E6" s="11">
        <v>20</v>
      </c>
      <c r="F6" s="12">
        <v>111800</v>
      </c>
      <c r="G6" s="11">
        <v>50</v>
      </c>
      <c r="H6" s="12">
        <v>171500</v>
      </c>
    </row>
    <row r="7" spans="1:8" x14ac:dyDescent="0.25">
      <c r="A7" s="11">
        <v>2.5</v>
      </c>
      <c r="B7" s="12">
        <v>42300</v>
      </c>
      <c r="C7" s="11">
        <v>7</v>
      </c>
      <c r="D7" s="12">
        <v>68500</v>
      </c>
      <c r="E7" s="11">
        <v>25</v>
      </c>
      <c r="F7" s="12">
        <v>124100</v>
      </c>
      <c r="G7" s="11">
        <v>100</v>
      </c>
      <c r="H7" s="12">
        <v>237000</v>
      </c>
    </row>
    <row r="8" spans="1:8" x14ac:dyDescent="0.25">
      <c r="E8" s="4"/>
    </row>
    <row r="9" spans="1:8" x14ac:dyDescent="0.25">
      <c r="A9" s="13" t="s">
        <v>42</v>
      </c>
    </row>
    <row r="10" spans="1:8" x14ac:dyDescent="0.25">
      <c r="A10" s="6" t="s">
        <v>43</v>
      </c>
      <c r="B10" s="12">
        <v>7800</v>
      </c>
    </row>
    <row r="11" spans="1:8" x14ac:dyDescent="0.25">
      <c r="A11" s="6" t="s">
        <v>44</v>
      </c>
      <c r="B11" s="12">
        <v>2800</v>
      </c>
    </row>
    <row r="12" spans="1:8" x14ac:dyDescent="0.25">
      <c r="A12" s="6" t="s">
        <v>45</v>
      </c>
      <c r="B12" s="12">
        <v>1900</v>
      </c>
    </row>
    <row r="13" spans="1:8" x14ac:dyDescent="0.25">
      <c r="A13" s="6" t="s">
        <v>46</v>
      </c>
      <c r="B13" s="12">
        <v>0</v>
      </c>
    </row>
    <row r="14" spans="1:8" ht="15.75" thickBot="1" x14ac:dyDescent="0.3"/>
    <row r="15" spans="1:8" ht="15.75" thickBot="1" x14ac:dyDescent="0.3">
      <c r="A15" s="128" t="s">
        <v>7</v>
      </c>
      <c r="B15" s="129"/>
      <c r="C15" s="129"/>
      <c r="D15" s="129"/>
      <c r="E15" s="129"/>
      <c r="F15" s="129"/>
      <c r="G15" s="129"/>
      <c r="H15" s="130"/>
    </row>
    <row r="16" spans="1:8" x14ac:dyDescent="0.25">
      <c r="A16" s="13" t="s">
        <v>2</v>
      </c>
      <c r="B16" s="10" t="s">
        <v>48</v>
      </c>
    </row>
    <row r="17" spans="1:18" x14ac:dyDescent="0.25">
      <c r="A17" s="11">
        <v>1</v>
      </c>
      <c r="B17" s="12">
        <v>23300</v>
      </c>
      <c r="C17" s="11">
        <v>3</v>
      </c>
      <c r="D17" s="12">
        <v>39800</v>
      </c>
      <c r="E17" s="11">
        <v>10</v>
      </c>
      <c r="F17" s="12">
        <v>71800</v>
      </c>
      <c r="G17" s="11">
        <v>30</v>
      </c>
      <c r="H17" s="12">
        <v>123300</v>
      </c>
    </row>
    <row r="18" spans="1:18" x14ac:dyDescent="0.25">
      <c r="A18" s="11">
        <v>1.5</v>
      </c>
      <c r="B18" s="12">
        <v>28300</v>
      </c>
      <c r="C18" s="11">
        <v>4</v>
      </c>
      <c r="D18" s="12">
        <v>45900</v>
      </c>
      <c r="E18" s="11">
        <v>15</v>
      </c>
      <c r="F18" s="12">
        <v>87600</v>
      </c>
      <c r="G18" s="11">
        <v>40</v>
      </c>
      <c r="H18" s="12">
        <v>141500</v>
      </c>
    </row>
    <row r="19" spans="1:18" x14ac:dyDescent="0.25">
      <c r="A19" s="11">
        <v>2</v>
      </c>
      <c r="B19" s="12">
        <v>32600</v>
      </c>
      <c r="C19" s="11">
        <v>5</v>
      </c>
      <c r="D19" s="12">
        <v>51200</v>
      </c>
      <c r="E19" s="11">
        <v>20</v>
      </c>
      <c r="F19" s="12">
        <v>100900</v>
      </c>
      <c r="G19" s="11">
        <v>50</v>
      </c>
      <c r="H19" s="12">
        <v>157800</v>
      </c>
    </row>
    <row r="20" spans="1:18" x14ac:dyDescent="0.25">
      <c r="A20" s="11">
        <v>2.5</v>
      </c>
      <c r="B20" s="12">
        <v>36400</v>
      </c>
      <c r="C20" s="11">
        <v>7</v>
      </c>
      <c r="D20" s="12">
        <v>60300</v>
      </c>
      <c r="E20" s="11">
        <v>25</v>
      </c>
      <c r="F20" s="12">
        <v>112500</v>
      </c>
      <c r="G20" s="11">
        <v>100</v>
      </c>
      <c r="H20" s="12">
        <v>221400</v>
      </c>
    </row>
    <row r="22" spans="1:18" x14ac:dyDescent="0.25">
      <c r="A22" s="13" t="s">
        <v>47</v>
      </c>
    </row>
    <row r="23" spans="1:18" x14ac:dyDescent="0.25">
      <c r="A23" s="6" t="s">
        <v>43</v>
      </c>
      <c r="B23" s="12">
        <v>7800</v>
      </c>
    </row>
    <row r="24" spans="1:18" x14ac:dyDescent="0.25">
      <c r="A24" s="6" t="s">
        <v>44</v>
      </c>
      <c r="B24" s="12">
        <v>2800</v>
      </c>
    </row>
    <row r="25" spans="1:18" x14ac:dyDescent="0.25">
      <c r="A25" s="6" t="s">
        <v>45</v>
      </c>
      <c r="B25" s="12">
        <v>1900</v>
      </c>
    </row>
    <row r="26" spans="1:18" x14ac:dyDescent="0.25">
      <c r="A26" s="6" t="s">
        <v>46</v>
      </c>
      <c r="B26" s="12">
        <v>0</v>
      </c>
    </row>
    <row r="28" spans="1:18" ht="16.5" thickBot="1" x14ac:dyDescent="0.3">
      <c r="K28" s="143">
        <v>2023</v>
      </c>
      <c r="L28" s="143"/>
      <c r="M28" s="143"/>
      <c r="N28" s="143"/>
      <c r="O28" s="143"/>
      <c r="P28" s="143"/>
      <c r="Q28" s="143"/>
      <c r="R28" s="143"/>
    </row>
    <row r="29" spans="1:18" ht="15.75" thickBot="1" x14ac:dyDescent="0.3">
      <c r="A29" s="128" t="s">
        <v>13</v>
      </c>
      <c r="B29" s="129"/>
      <c r="C29" s="129"/>
      <c r="D29" s="129"/>
      <c r="E29" s="129"/>
      <c r="F29" s="129"/>
      <c r="G29" s="129"/>
      <c r="H29" s="130"/>
      <c r="K29" s="131" t="s">
        <v>13</v>
      </c>
      <c r="L29" s="132"/>
      <c r="M29" s="132"/>
      <c r="N29" s="132"/>
      <c r="O29" s="132"/>
      <c r="P29" s="132"/>
      <c r="Q29" s="132"/>
      <c r="R29" s="133"/>
    </row>
    <row r="30" spans="1:18" x14ac:dyDescent="0.25">
      <c r="A30" t="s">
        <v>1</v>
      </c>
      <c r="K30" t="s">
        <v>1</v>
      </c>
    </row>
    <row r="31" spans="1:18" x14ac:dyDescent="0.25">
      <c r="A31" s="11">
        <v>1</v>
      </c>
      <c r="B31" s="12">
        <v>29000</v>
      </c>
      <c r="C31" s="11">
        <v>3</v>
      </c>
      <c r="D31" s="12">
        <v>48000</v>
      </c>
      <c r="E31" s="11">
        <v>10</v>
      </c>
      <c r="F31" s="12">
        <v>82000</v>
      </c>
      <c r="G31" s="11">
        <v>30</v>
      </c>
      <c r="H31" s="12">
        <v>137000</v>
      </c>
      <c r="K31" s="11">
        <v>1</v>
      </c>
      <c r="L31" s="12">
        <v>32000</v>
      </c>
      <c r="M31" s="11">
        <v>3</v>
      </c>
      <c r="N31" s="12">
        <v>48000</v>
      </c>
      <c r="O31" s="11">
        <v>10</v>
      </c>
      <c r="P31" s="12">
        <v>88000</v>
      </c>
      <c r="Q31" s="11">
        <v>30</v>
      </c>
      <c r="R31" s="12">
        <v>140000</v>
      </c>
    </row>
    <row r="32" spans="1:18" x14ac:dyDescent="0.25">
      <c r="A32" s="11">
        <v>1.5</v>
      </c>
      <c r="B32" s="12">
        <v>35000</v>
      </c>
      <c r="C32" s="11">
        <v>4</v>
      </c>
      <c r="D32" s="12">
        <v>55000</v>
      </c>
      <c r="E32" s="11">
        <v>15</v>
      </c>
      <c r="F32" s="12">
        <v>99000</v>
      </c>
      <c r="G32" s="11">
        <v>40</v>
      </c>
      <c r="H32" s="12">
        <v>155500</v>
      </c>
      <c r="K32" s="11">
        <v>1.5</v>
      </c>
      <c r="L32" s="12">
        <v>36000</v>
      </c>
      <c r="M32" s="11">
        <v>4</v>
      </c>
      <c r="N32" s="12">
        <v>56000</v>
      </c>
      <c r="O32" s="11">
        <v>15</v>
      </c>
      <c r="P32" s="12">
        <v>110000</v>
      </c>
      <c r="Q32" s="11">
        <v>40</v>
      </c>
      <c r="R32" s="12">
        <v>160000</v>
      </c>
    </row>
    <row r="33" spans="1:18" x14ac:dyDescent="0.25">
      <c r="A33" s="11">
        <v>2</v>
      </c>
      <c r="B33" s="12">
        <v>39000</v>
      </c>
      <c r="C33" s="11">
        <v>5</v>
      </c>
      <c r="D33" s="12">
        <v>59000</v>
      </c>
      <c r="E33" s="11">
        <v>20</v>
      </c>
      <c r="F33" s="12">
        <v>113000</v>
      </c>
      <c r="G33" s="11">
        <v>50</v>
      </c>
      <c r="H33" s="12">
        <v>172500</v>
      </c>
      <c r="K33" s="11">
        <v>2</v>
      </c>
      <c r="L33" s="12">
        <v>40000</v>
      </c>
      <c r="M33" s="11">
        <v>5</v>
      </c>
      <c r="N33" s="12">
        <v>64000</v>
      </c>
      <c r="O33" s="11">
        <v>20</v>
      </c>
      <c r="P33" s="12">
        <v>120000</v>
      </c>
      <c r="Q33" s="11">
        <v>50</v>
      </c>
      <c r="R33" s="12">
        <v>180000</v>
      </c>
    </row>
    <row r="34" spans="1:18" x14ac:dyDescent="0.25">
      <c r="A34" s="11">
        <v>2.5</v>
      </c>
      <c r="B34" s="12">
        <v>43000</v>
      </c>
      <c r="C34" s="11">
        <v>7</v>
      </c>
      <c r="D34" s="12">
        <v>69000</v>
      </c>
      <c r="E34" s="11">
        <v>25</v>
      </c>
      <c r="F34" s="12">
        <v>125000</v>
      </c>
      <c r="G34" s="11">
        <v>100</v>
      </c>
      <c r="H34" s="12">
        <v>237500</v>
      </c>
      <c r="K34" s="11">
        <v>2.5</v>
      </c>
      <c r="L34" s="12">
        <v>44000</v>
      </c>
      <c r="M34" s="11">
        <v>7</v>
      </c>
      <c r="N34" s="12">
        <v>74000</v>
      </c>
      <c r="O34" s="11">
        <v>25</v>
      </c>
      <c r="P34" s="12">
        <v>130000</v>
      </c>
      <c r="Q34" s="11">
        <v>100</v>
      </c>
      <c r="R34" s="12">
        <v>320000</v>
      </c>
    </row>
    <row r="36" spans="1:18" x14ac:dyDescent="0.25">
      <c r="A36" s="13" t="s">
        <v>50</v>
      </c>
      <c r="K36" s="13" t="s">
        <v>158</v>
      </c>
    </row>
    <row r="37" spans="1:18" x14ac:dyDescent="0.25">
      <c r="A37" t="s">
        <v>43</v>
      </c>
      <c r="B37" s="9">
        <v>8500</v>
      </c>
      <c r="K37" s="6" t="s">
        <v>43</v>
      </c>
      <c r="L37" s="14">
        <v>6300</v>
      </c>
    </row>
    <row r="38" spans="1:18" x14ac:dyDescent="0.25">
      <c r="A38" t="s">
        <v>51</v>
      </c>
      <c r="B38" s="9">
        <v>2800</v>
      </c>
      <c r="K38" s="6" t="s">
        <v>51</v>
      </c>
      <c r="L38" s="14">
        <v>3100</v>
      </c>
    </row>
    <row r="39" spans="1:18" x14ac:dyDescent="0.25">
      <c r="A39" t="s">
        <v>45</v>
      </c>
      <c r="B39" s="9">
        <v>1900</v>
      </c>
      <c r="K39" s="6" t="s">
        <v>45</v>
      </c>
      <c r="L39" s="14">
        <v>2800</v>
      </c>
    </row>
    <row r="40" spans="1:18" x14ac:dyDescent="0.25">
      <c r="A40" t="s">
        <v>46</v>
      </c>
      <c r="K40" s="6" t="s">
        <v>46</v>
      </c>
      <c r="L40" s="6">
        <v>0</v>
      </c>
    </row>
    <row r="41" spans="1:18" ht="15.75" thickBot="1" x14ac:dyDescent="0.3"/>
    <row r="42" spans="1:18" ht="15.75" thickBot="1" x14ac:dyDescent="0.3">
      <c r="A42" s="128" t="s">
        <v>14</v>
      </c>
      <c r="B42" s="129"/>
      <c r="C42" s="129"/>
      <c r="D42" s="129"/>
      <c r="E42" s="129"/>
      <c r="F42" s="129"/>
      <c r="G42" s="129"/>
      <c r="H42" s="130"/>
      <c r="K42" s="128" t="s">
        <v>14</v>
      </c>
      <c r="L42" s="129"/>
      <c r="M42" s="129"/>
      <c r="N42" s="129"/>
      <c r="O42" s="129"/>
      <c r="P42" s="129"/>
      <c r="Q42" s="129"/>
      <c r="R42" s="130"/>
    </row>
    <row r="43" spans="1:18" x14ac:dyDescent="0.25">
      <c r="A43" t="s">
        <v>2</v>
      </c>
      <c r="K43" t="s">
        <v>2</v>
      </c>
    </row>
    <row r="44" spans="1:18" x14ac:dyDescent="0.25">
      <c r="A44" s="11">
        <v>1</v>
      </c>
      <c r="B44" s="12">
        <v>25000</v>
      </c>
      <c r="C44" s="11">
        <v>3</v>
      </c>
      <c r="D44" s="12">
        <v>41100</v>
      </c>
      <c r="E44" s="11">
        <v>10</v>
      </c>
      <c r="F44" s="12">
        <v>73100</v>
      </c>
      <c r="G44" s="11">
        <v>30</v>
      </c>
      <c r="H44" s="12">
        <v>124300</v>
      </c>
      <c r="K44" s="11">
        <v>1</v>
      </c>
      <c r="L44" s="12">
        <v>28700</v>
      </c>
      <c r="M44" s="11">
        <v>3</v>
      </c>
      <c r="N44" s="12">
        <v>44000</v>
      </c>
      <c r="O44" s="11">
        <v>10</v>
      </c>
      <c r="P44" s="12">
        <v>80000</v>
      </c>
      <c r="Q44" s="11">
        <v>30</v>
      </c>
      <c r="R44" s="12">
        <v>130000</v>
      </c>
    </row>
    <row r="45" spans="1:18" x14ac:dyDescent="0.25">
      <c r="A45" s="11">
        <v>1.5</v>
      </c>
      <c r="B45" s="12">
        <v>29600</v>
      </c>
      <c r="C45" s="11">
        <v>4</v>
      </c>
      <c r="D45" s="12">
        <v>47200</v>
      </c>
      <c r="E45" s="11">
        <v>15</v>
      </c>
      <c r="F45" s="12">
        <v>88900</v>
      </c>
      <c r="G45" s="11">
        <v>40</v>
      </c>
      <c r="H45" s="12">
        <v>142800</v>
      </c>
      <c r="K45" s="11">
        <v>1.5</v>
      </c>
      <c r="L45" s="12">
        <v>32000</v>
      </c>
      <c r="M45" s="11">
        <v>4</v>
      </c>
      <c r="N45" s="12">
        <v>52000</v>
      </c>
      <c r="O45" s="11">
        <v>15</v>
      </c>
      <c r="P45" s="12">
        <v>100000</v>
      </c>
      <c r="Q45" s="11">
        <v>40</v>
      </c>
      <c r="R45" s="12">
        <v>150000</v>
      </c>
    </row>
    <row r="46" spans="1:18" x14ac:dyDescent="0.25">
      <c r="A46" s="11">
        <v>2</v>
      </c>
      <c r="B46" s="12">
        <v>33900</v>
      </c>
      <c r="C46" s="11">
        <v>5</v>
      </c>
      <c r="D46" s="12">
        <v>52500</v>
      </c>
      <c r="E46" s="11">
        <v>20</v>
      </c>
      <c r="F46" s="12">
        <v>102200</v>
      </c>
      <c r="G46" s="11">
        <v>50</v>
      </c>
      <c r="H46" s="12">
        <v>159100</v>
      </c>
      <c r="K46" s="11">
        <v>2</v>
      </c>
      <c r="L46" s="12">
        <v>36000</v>
      </c>
      <c r="M46" s="11">
        <v>5</v>
      </c>
      <c r="N46" s="12">
        <v>60000</v>
      </c>
      <c r="O46" s="11">
        <v>20</v>
      </c>
      <c r="P46" s="12">
        <v>110000</v>
      </c>
      <c r="Q46" s="11">
        <v>50</v>
      </c>
      <c r="R46" s="12">
        <v>170000</v>
      </c>
    </row>
    <row r="47" spans="1:18" x14ac:dyDescent="0.25">
      <c r="A47" s="11">
        <v>2.5</v>
      </c>
      <c r="B47" s="12">
        <v>37700</v>
      </c>
      <c r="C47" s="11">
        <v>7</v>
      </c>
      <c r="D47" s="12">
        <v>61600</v>
      </c>
      <c r="E47" s="11">
        <v>25</v>
      </c>
      <c r="F47" s="12">
        <v>113800</v>
      </c>
      <c r="G47" s="11">
        <v>100</v>
      </c>
      <c r="H47" s="12">
        <v>222700</v>
      </c>
      <c r="K47" s="11">
        <v>2.5</v>
      </c>
      <c r="L47" s="12">
        <v>40000</v>
      </c>
      <c r="M47" s="11">
        <v>7</v>
      </c>
      <c r="N47" s="12">
        <v>70000</v>
      </c>
      <c r="O47" s="11">
        <v>25</v>
      </c>
      <c r="P47" s="12">
        <v>120000</v>
      </c>
      <c r="Q47" s="11">
        <v>100</v>
      </c>
      <c r="R47" s="12">
        <v>300000</v>
      </c>
    </row>
    <row r="48" spans="1:18" x14ac:dyDescent="0.25">
      <c r="Q48" s="4" t="s">
        <v>135</v>
      </c>
    </row>
    <row r="49" spans="1:12" x14ac:dyDescent="0.25">
      <c r="A49" s="13" t="s">
        <v>50</v>
      </c>
      <c r="K49" s="13" t="s">
        <v>50</v>
      </c>
    </row>
    <row r="50" spans="1:12" x14ac:dyDescent="0.25">
      <c r="A50" s="6" t="s">
        <v>43</v>
      </c>
      <c r="B50" s="14">
        <v>8500</v>
      </c>
      <c r="K50" s="6" t="s">
        <v>43</v>
      </c>
      <c r="L50" s="14">
        <v>6300</v>
      </c>
    </row>
    <row r="51" spans="1:12" x14ac:dyDescent="0.25">
      <c r="A51" s="6" t="s">
        <v>51</v>
      </c>
      <c r="B51" s="14">
        <v>2800</v>
      </c>
      <c r="K51" s="6" t="s">
        <v>51</v>
      </c>
      <c r="L51" s="14">
        <v>3100</v>
      </c>
    </row>
    <row r="52" spans="1:12" x14ac:dyDescent="0.25">
      <c r="A52" s="6" t="s">
        <v>45</v>
      </c>
      <c r="B52" s="14">
        <v>1900</v>
      </c>
      <c r="K52" s="6" t="s">
        <v>45</v>
      </c>
      <c r="L52" s="14">
        <v>2800</v>
      </c>
    </row>
    <row r="53" spans="1:12" x14ac:dyDescent="0.25">
      <c r="A53" s="6" t="s">
        <v>46</v>
      </c>
      <c r="B53" s="6" t="s">
        <v>49</v>
      </c>
      <c r="K53" s="6" t="s">
        <v>46</v>
      </c>
      <c r="L53" s="6">
        <v>0</v>
      </c>
    </row>
    <row r="57" spans="1:12" x14ac:dyDescent="0.25">
      <c r="A57" s="15" t="s">
        <v>135</v>
      </c>
    </row>
  </sheetData>
  <mergeCells count="8">
    <mergeCell ref="A1:H1"/>
    <mergeCell ref="A2:H2"/>
    <mergeCell ref="A15:H15"/>
    <mergeCell ref="A29:H29"/>
    <mergeCell ref="A42:H42"/>
    <mergeCell ref="K29:R29"/>
    <mergeCell ref="K28:R28"/>
    <mergeCell ref="K42:R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0EE00-6D0F-4C94-A350-751C70F45D36}">
  <dimension ref="A1:BI93"/>
  <sheetViews>
    <sheetView workbookViewId="0">
      <selection activeCell="D9" sqref="D9"/>
    </sheetView>
  </sheetViews>
  <sheetFormatPr defaultRowHeight="15" x14ac:dyDescent="0.25"/>
  <cols>
    <col min="1" max="1" width="14.28515625" bestFit="1" customWidth="1"/>
    <col min="2" max="2" width="23.42578125" bestFit="1" customWidth="1"/>
    <col min="3" max="3" width="9.28515625" style="25" bestFit="1" customWidth="1"/>
    <col min="4" max="4" width="11.85546875" style="9" bestFit="1" customWidth="1"/>
    <col min="5" max="5" width="5.5703125" bestFit="1" customWidth="1"/>
    <col min="6" max="6" width="16.7109375" bestFit="1" customWidth="1"/>
    <col min="7" max="7" width="11.85546875" style="9" bestFit="1" customWidth="1"/>
    <col min="8" max="8" width="14.7109375" style="9" bestFit="1" customWidth="1"/>
    <col min="9" max="9" width="12.85546875" style="23" bestFit="1" customWidth="1"/>
    <col min="10" max="10" width="13.42578125" style="9" bestFit="1" customWidth="1"/>
    <col min="11" max="11" width="13.28515625" style="9" bestFit="1" customWidth="1"/>
    <col min="12" max="12" width="14.42578125" style="9" bestFit="1" customWidth="1"/>
    <col min="13" max="13" width="14.28515625" style="31" bestFit="1" customWidth="1"/>
    <col min="14" max="14" width="10.7109375" style="31" bestFit="1" customWidth="1"/>
    <col min="15" max="15" width="12" style="9" bestFit="1" customWidth="1"/>
    <col min="16" max="16" width="11.85546875" style="33" bestFit="1" customWidth="1"/>
    <col min="17" max="17" width="11.7109375" style="31" bestFit="1" customWidth="1"/>
    <col min="18" max="18" width="8.7109375" style="35" bestFit="1" customWidth="1"/>
    <col min="19" max="19" width="10.85546875" bestFit="1" customWidth="1"/>
    <col min="20" max="20" width="67.7109375" bestFit="1" customWidth="1"/>
    <col min="21" max="21" width="19.140625" bestFit="1" customWidth="1"/>
    <col min="22" max="22" width="6.85546875" bestFit="1" customWidth="1"/>
    <col min="23" max="23" width="6.42578125" bestFit="1" customWidth="1"/>
    <col min="24" max="24" width="15" bestFit="1" customWidth="1"/>
    <col min="25" max="25" width="9.42578125" bestFit="1" customWidth="1"/>
    <col min="26" max="26" width="5.42578125" bestFit="1" customWidth="1"/>
    <col min="27" max="29" width="12.42578125" bestFit="1" customWidth="1"/>
  </cols>
  <sheetData>
    <row r="1" spans="1:61" x14ac:dyDescent="0.25">
      <c r="A1" s="16" t="s">
        <v>52</v>
      </c>
      <c r="B1" s="16" t="s">
        <v>53</v>
      </c>
      <c r="C1" s="24" t="s">
        <v>54</v>
      </c>
      <c r="D1" s="21" t="s">
        <v>55</v>
      </c>
      <c r="E1" s="16" t="s">
        <v>56</v>
      </c>
      <c r="F1" s="16" t="s">
        <v>57</v>
      </c>
      <c r="G1" s="21" t="s">
        <v>58</v>
      </c>
      <c r="H1" s="21" t="s">
        <v>59</v>
      </c>
      <c r="I1" s="22" t="s">
        <v>60</v>
      </c>
      <c r="J1" s="21" t="s">
        <v>61</v>
      </c>
      <c r="K1" s="21" t="s">
        <v>62</v>
      </c>
      <c r="L1" s="21" t="s">
        <v>63</v>
      </c>
      <c r="M1" s="30" t="s">
        <v>66</v>
      </c>
      <c r="N1" s="30" t="s">
        <v>67</v>
      </c>
      <c r="O1" s="21" t="s">
        <v>69</v>
      </c>
      <c r="P1" s="32" t="s">
        <v>70</v>
      </c>
      <c r="Q1" s="30" t="s">
        <v>71</v>
      </c>
      <c r="R1" s="17" t="s">
        <v>72</v>
      </c>
      <c r="S1" s="16" t="s">
        <v>73</v>
      </c>
      <c r="T1" s="16" t="s">
        <v>74</v>
      </c>
      <c r="U1" s="16" t="s">
        <v>75</v>
      </c>
      <c r="V1" s="16" t="s">
        <v>76</v>
      </c>
      <c r="W1" s="16" t="s">
        <v>77</v>
      </c>
      <c r="X1" s="16" t="s">
        <v>78</v>
      </c>
      <c r="Y1" s="16" t="s">
        <v>79</v>
      </c>
      <c r="Z1" s="16" t="s">
        <v>80</v>
      </c>
      <c r="AA1" s="16" t="s">
        <v>308</v>
      </c>
      <c r="AB1" s="16" t="s">
        <v>307</v>
      </c>
      <c r="AC1" s="16" t="s">
        <v>306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x14ac:dyDescent="0.25">
      <c r="A2" t="s">
        <v>305</v>
      </c>
      <c r="B2" t="s">
        <v>304</v>
      </c>
      <c r="C2" s="25">
        <v>43637</v>
      </c>
      <c r="D2" s="9">
        <v>289000</v>
      </c>
      <c r="E2" t="s">
        <v>83</v>
      </c>
      <c r="F2" t="s">
        <v>84</v>
      </c>
      <c r="G2" s="9">
        <v>289000</v>
      </c>
      <c r="H2" s="9">
        <v>0</v>
      </c>
      <c r="I2" s="23">
        <f>H2/G2*100</f>
        <v>0</v>
      </c>
      <c r="J2" s="9">
        <v>259750</v>
      </c>
      <c r="K2" s="9">
        <f>G2-259750</f>
        <v>29250</v>
      </c>
      <c r="L2" s="9">
        <v>0</v>
      </c>
      <c r="M2" s="31">
        <v>0</v>
      </c>
      <c r="N2" s="31">
        <v>0.80600000000000005</v>
      </c>
      <c r="O2" s="9" t="e">
        <f>K2/M2</f>
        <v>#DIV/0!</v>
      </c>
      <c r="P2" s="33" t="e">
        <f>K2/M2/43560</f>
        <v>#DIV/0!</v>
      </c>
      <c r="Q2" s="31">
        <v>117</v>
      </c>
      <c r="R2" s="18" t="s">
        <v>1</v>
      </c>
      <c r="S2" t="s">
        <v>303</v>
      </c>
      <c r="T2" t="s">
        <v>302</v>
      </c>
      <c r="U2" t="s">
        <v>159</v>
      </c>
      <c r="V2">
        <v>0</v>
      </c>
      <c r="W2">
        <v>0</v>
      </c>
      <c r="X2" s="20">
        <v>43724</v>
      </c>
      <c r="Z2" s="19" t="s">
        <v>96</v>
      </c>
    </row>
    <row r="3" spans="1:61" x14ac:dyDescent="0.25">
      <c r="A3" t="s">
        <v>298</v>
      </c>
      <c r="B3" t="s">
        <v>300</v>
      </c>
      <c r="C3" s="25">
        <v>44110</v>
      </c>
      <c r="D3" s="9">
        <v>405000</v>
      </c>
      <c r="E3" t="s">
        <v>83</v>
      </c>
      <c r="F3" t="s">
        <v>84</v>
      </c>
      <c r="G3" s="9">
        <v>405000</v>
      </c>
      <c r="H3" s="9">
        <v>144900</v>
      </c>
      <c r="I3" s="23">
        <f>H3/G3*100</f>
        <v>35.777777777777771</v>
      </c>
      <c r="J3" s="9">
        <v>292584</v>
      </c>
      <c r="K3" s="9">
        <f>G3-292584</f>
        <v>112416</v>
      </c>
      <c r="L3" s="9">
        <v>0</v>
      </c>
      <c r="M3" s="31">
        <v>0</v>
      </c>
      <c r="N3" s="31">
        <v>4.5</v>
      </c>
      <c r="O3" s="9" t="e">
        <f>K3/M3</f>
        <v>#DIV/0!</v>
      </c>
      <c r="P3" s="33" t="e">
        <f>K3/M3/43560</f>
        <v>#DIV/0!</v>
      </c>
      <c r="Q3" s="31">
        <v>0</v>
      </c>
      <c r="R3" s="18" t="s">
        <v>1</v>
      </c>
      <c r="S3" t="s">
        <v>299</v>
      </c>
      <c r="T3" t="s">
        <v>301</v>
      </c>
      <c r="U3" t="s">
        <v>159</v>
      </c>
      <c r="V3">
        <v>0</v>
      </c>
      <c r="W3">
        <v>0</v>
      </c>
      <c r="X3" t="s">
        <v>89</v>
      </c>
      <c r="Z3" s="19" t="s">
        <v>96</v>
      </c>
    </row>
    <row r="4" spans="1:61" x14ac:dyDescent="0.25">
      <c r="A4" t="s">
        <v>301</v>
      </c>
      <c r="B4" t="s">
        <v>300</v>
      </c>
      <c r="C4" s="25">
        <v>44110</v>
      </c>
      <c r="D4" s="9">
        <v>405000</v>
      </c>
      <c r="E4" t="s">
        <v>83</v>
      </c>
      <c r="F4" t="s">
        <v>84</v>
      </c>
      <c r="G4" s="9">
        <v>405000</v>
      </c>
      <c r="H4" s="9">
        <v>18050</v>
      </c>
      <c r="I4" s="23">
        <f>H4/G4*100</f>
        <v>4.4567901234567904</v>
      </c>
      <c r="J4" s="9">
        <v>0</v>
      </c>
      <c r="K4" s="9">
        <f>G4-0</f>
        <v>405000</v>
      </c>
      <c r="L4" s="9">
        <v>0</v>
      </c>
      <c r="M4" s="31">
        <v>0</v>
      </c>
      <c r="N4" s="31">
        <v>4.2430000000000003</v>
      </c>
      <c r="O4" s="9" t="e">
        <f>K4/M4</f>
        <v>#DIV/0!</v>
      </c>
      <c r="P4" s="33" t="e">
        <f>K4/M4/43560</f>
        <v>#DIV/0!</v>
      </c>
      <c r="Q4" s="31">
        <v>0</v>
      </c>
      <c r="R4" s="18" t="s">
        <v>1</v>
      </c>
      <c r="S4" t="s">
        <v>299</v>
      </c>
      <c r="T4" t="s">
        <v>298</v>
      </c>
      <c r="U4" t="s">
        <v>159</v>
      </c>
      <c r="V4">
        <v>0</v>
      </c>
      <c r="W4">
        <v>0</v>
      </c>
      <c r="X4" t="s">
        <v>89</v>
      </c>
      <c r="Z4" s="19" t="s">
        <v>96</v>
      </c>
    </row>
    <row r="5" spans="1:61" x14ac:dyDescent="0.25">
      <c r="A5" t="s">
        <v>297</v>
      </c>
      <c r="B5" t="s">
        <v>296</v>
      </c>
      <c r="C5" s="25">
        <v>44671</v>
      </c>
      <c r="D5" s="9">
        <v>220000</v>
      </c>
      <c r="E5" t="s">
        <v>106</v>
      </c>
      <c r="F5" t="s">
        <v>84</v>
      </c>
      <c r="G5" s="9">
        <v>220000</v>
      </c>
      <c r="H5" s="9">
        <v>81000</v>
      </c>
      <c r="I5" s="23">
        <f>H5/G5*100</f>
        <v>36.818181818181813</v>
      </c>
      <c r="J5" s="9">
        <v>171716</v>
      </c>
      <c r="K5" s="9">
        <f>G5-164466</f>
        <v>55534</v>
      </c>
      <c r="L5" s="9">
        <v>7250</v>
      </c>
      <c r="M5" s="31">
        <v>0.25</v>
      </c>
      <c r="N5" s="31">
        <v>0.25</v>
      </c>
      <c r="O5" s="9">
        <f>K5/M5</f>
        <v>222136</v>
      </c>
      <c r="P5" s="33">
        <f>K5/M5/43560</f>
        <v>5.0995408631772268</v>
      </c>
      <c r="Q5" s="31">
        <v>66</v>
      </c>
      <c r="R5" s="18" t="s">
        <v>1</v>
      </c>
      <c r="S5" t="s">
        <v>295</v>
      </c>
      <c r="U5" t="s">
        <v>159</v>
      </c>
      <c r="V5">
        <v>0</v>
      </c>
      <c r="W5">
        <v>0</v>
      </c>
      <c r="X5" t="s">
        <v>89</v>
      </c>
      <c r="Z5" s="19" t="s">
        <v>96</v>
      </c>
      <c r="AI5" s="1"/>
      <c r="AZ5" s="1"/>
      <c r="BB5" s="1"/>
    </row>
    <row r="6" spans="1:61" x14ac:dyDescent="0.25">
      <c r="A6" t="s">
        <v>294</v>
      </c>
      <c r="B6" t="s">
        <v>293</v>
      </c>
      <c r="C6" s="25">
        <v>44798</v>
      </c>
      <c r="D6" s="9">
        <v>250000</v>
      </c>
      <c r="E6" t="s">
        <v>83</v>
      </c>
      <c r="F6" t="s">
        <v>84</v>
      </c>
      <c r="G6" s="9">
        <v>250000</v>
      </c>
      <c r="H6" s="9">
        <v>0</v>
      </c>
      <c r="I6" s="23">
        <f>H6/G6*100</f>
        <v>0</v>
      </c>
      <c r="J6" s="9">
        <v>166933</v>
      </c>
      <c r="K6" s="9">
        <f>G6-147213</f>
        <v>102787</v>
      </c>
      <c r="L6" s="9">
        <v>19720</v>
      </c>
      <c r="M6" s="31">
        <v>0.68</v>
      </c>
      <c r="N6" s="31">
        <v>0.68</v>
      </c>
      <c r="O6" s="9">
        <f>K6/M6</f>
        <v>151157.35294117645</v>
      </c>
      <c r="P6" s="33">
        <f>K6/M6/43560</f>
        <v>3.4700953384108457</v>
      </c>
      <c r="Q6" s="31">
        <v>0</v>
      </c>
      <c r="R6" s="18" t="s">
        <v>1</v>
      </c>
      <c r="S6" t="s">
        <v>292</v>
      </c>
      <c r="U6" t="s">
        <v>159</v>
      </c>
      <c r="V6">
        <v>0</v>
      </c>
      <c r="W6">
        <v>0</v>
      </c>
      <c r="X6" t="s">
        <v>89</v>
      </c>
      <c r="Z6" s="19" t="s">
        <v>96</v>
      </c>
    </row>
    <row r="9" spans="1:61" x14ac:dyDescent="0.25">
      <c r="A9" t="s">
        <v>291</v>
      </c>
      <c r="B9" t="s">
        <v>290</v>
      </c>
      <c r="C9" s="25">
        <v>44370</v>
      </c>
      <c r="D9" s="9">
        <v>360000</v>
      </c>
      <c r="E9" t="s">
        <v>106</v>
      </c>
      <c r="F9" t="s">
        <v>84</v>
      </c>
      <c r="G9" s="9">
        <v>360000</v>
      </c>
      <c r="H9" s="9">
        <v>89500</v>
      </c>
      <c r="I9" s="23">
        <f>H9/G9*100</f>
        <v>24.861111111111111</v>
      </c>
      <c r="J9" s="9">
        <v>205594</v>
      </c>
      <c r="K9" s="9">
        <f>G9-180886</f>
        <v>179114</v>
      </c>
      <c r="L9" s="9">
        <v>24708</v>
      </c>
      <c r="M9" s="31">
        <v>0.85199999999999998</v>
      </c>
      <c r="N9" s="31">
        <v>0.85199999999999998</v>
      </c>
      <c r="O9" s="9">
        <f>K9/M9</f>
        <v>210227.69953051643</v>
      </c>
      <c r="P9" s="33">
        <f>K9/M9/43560</f>
        <v>4.8261639010678703</v>
      </c>
      <c r="Q9" s="31">
        <v>135</v>
      </c>
      <c r="R9" s="18" t="s">
        <v>1</v>
      </c>
      <c r="S9" t="s">
        <v>289</v>
      </c>
      <c r="U9" t="s">
        <v>159</v>
      </c>
      <c r="V9">
        <v>0</v>
      </c>
      <c r="W9">
        <v>0</v>
      </c>
      <c r="X9" t="s">
        <v>89</v>
      </c>
      <c r="Z9" s="19" t="s">
        <v>96</v>
      </c>
    </row>
    <row r="10" spans="1:61" ht="15.75" thickBot="1" x14ac:dyDescent="0.3">
      <c r="R10" s="18"/>
      <c r="Z10" s="19"/>
    </row>
    <row r="11" spans="1:61" ht="15.75" thickBot="1" x14ac:dyDescent="0.3">
      <c r="M11" s="80" t="s">
        <v>288</v>
      </c>
      <c r="R11" s="18"/>
      <c r="Z11" s="19"/>
    </row>
    <row r="12" spans="1:61" x14ac:dyDescent="0.25">
      <c r="A12" t="s">
        <v>287</v>
      </c>
      <c r="B12" t="s">
        <v>286</v>
      </c>
      <c r="C12" s="25">
        <v>44083</v>
      </c>
      <c r="D12" s="9">
        <v>242000</v>
      </c>
      <c r="E12" t="s">
        <v>83</v>
      </c>
      <c r="F12" t="s">
        <v>84</v>
      </c>
      <c r="G12" s="9">
        <v>242000</v>
      </c>
      <c r="H12" s="9">
        <v>109350</v>
      </c>
      <c r="I12" s="23">
        <f t="shared" ref="I12:I19" si="0">H12/G12*100</f>
        <v>45.185950413223139</v>
      </c>
      <c r="J12" s="9">
        <v>257153</v>
      </c>
      <c r="K12" s="9">
        <f>G12-233083</f>
        <v>8917</v>
      </c>
      <c r="L12" s="9">
        <v>24070</v>
      </c>
      <c r="M12" s="31">
        <v>0.83</v>
      </c>
      <c r="N12" s="31">
        <v>0.83</v>
      </c>
      <c r="O12" s="9">
        <f t="shared" ref="O12:O19" si="1">K12/M12</f>
        <v>10743.373493975903</v>
      </c>
      <c r="P12" s="33">
        <f t="shared" ref="P12:P19" si="2">K12/M12/43560</f>
        <v>0.24663391859448813</v>
      </c>
      <c r="Q12" s="31">
        <v>0</v>
      </c>
      <c r="R12" s="18" t="s">
        <v>1</v>
      </c>
      <c r="S12" t="s">
        <v>285</v>
      </c>
      <c r="U12" t="s">
        <v>159</v>
      </c>
      <c r="V12">
        <v>0</v>
      </c>
      <c r="W12">
        <v>0</v>
      </c>
      <c r="X12" s="20">
        <v>43724</v>
      </c>
      <c r="Z12" s="19" t="s">
        <v>96</v>
      </c>
    </row>
    <row r="13" spans="1:61" x14ac:dyDescent="0.25">
      <c r="A13" t="s">
        <v>284</v>
      </c>
      <c r="B13" t="s">
        <v>283</v>
      </c>
      <c r="C13" s="25">
        <v>44123</v>
      </c>
      <c r="D13" s="9">
        <v>29000</v>
      </c>
      <c r="E13" t="s">
        <v>83</v>
      </c>
      <c r="F13" t="s">
        <v>84</v>
      </c>
      <c r="G13" s="9">
        <v>29000</v>
      </c>
      <c r="H13" s="9">
        <v>12500</v>
      </c>
      <c r="I13" s="23">
        <f t="shared" si="0"/>
        <v>43.103448275862064</v>
      </c>
      <c r="J13" s="9">
        <v>32000</v>
      </c>
      <c r="K13" s="9">
        <f>G13-0</f>
        <v>29000</v>
      </c>
      <c r="L13" s="9">
        <v>32000</v>
      </c>
      <c r="M13" s="31">
        <v>1.25</v>
      </c>
      <c r="N13" s="31">
        <v>1.25</v>
      </c>
      <c r="O13" s="9">
        <f t="shared" si="1"/>
        <v>23200</v>
      </c>
      <c r="P13" s="33">
        <f t="shared" si="2"/>
        <v>0.53259871441689621</v>
      </c>
      <c r="Q13" s="31">
        <v>0</v>
      </c>
      <c r="R13" s="18" t="s">
        <v>1</v>
      </c>
      <c r="S13" t="s">
        <v>282</v>
      </c>
      <c r="U13" t="s">
        <v>159</v>
      </c>
      <c r="V13">
        <v>0</v>
      </c>
      <c r="W13">
        <v>0</v>
      </c>
      <c r="X13" t="s">
        <v>89</v>
      </c>
      <c r="Z13" s="19" t="s">
        <v>96</v>
      </c>
    </row>
    <row r="14" spans="1:61" x14ac:dyDescent="0.25">
      <c r="A14" t="s">
        <v>281</v>
      </c>
      <c r="B14" t="s">
        <v>280</v>
      </c>
      <c r="C14" s="25">
        <v>44468</v>
      </c>
      <c r="D14" s="9">
        <v>114150</v>
      </c>
      <c r="E14" t="s">
        <v>106</v>
      </c>
      <c r="F14" t="s">
        <v>84</v>
      </c>
      <c r="G14" s="9">
        <v>114150</v>
      </c>
      <c r="H14" s="9">
        <v>51500</v>
      </c>
      <c r="I14" s="23">
        <f t="shared" si="0"/>
        <v>45.116075339465617</v>
      </c>
      <c r="J14" s="9">
        <v>118270</v>
      </c>
      <c r="K14" s="9">
        <f>G14-94780</f>
        <v>19370</v>
      </c>
      <c r="L14" s="9">
        <v>23490</v>
      </c>
      <c r="M14" s="31">
        <v>0.81</v>
      </c>
      <c r="N14" s="31">
        <v>0.81</v>
      </c>
      <c r="O14" s="9">
        <f t="shared" si="1"/>
        <v>23913.580246913578</v>
      </c>
      <c r="P14" s="33">
        <f t="shared" si="2"/>
        <v>0.54898026278497658</v>
      </c>
      <c r="Q14" s="31">
        <v>0</v>
      </c>
      <c r="R14" s="18" t="s">
        <v>1</v>
      </c>
      <c r="S14" t="s">
        <v>279</v>
      </c>
      <c r="U14" t="s">
        <v>159</v>
      </c>
      <c r="V14">
        <v>0</v>
      </c>
      <c r="W14">
        <v>0</v>
      </c>
      <c r="X14" t="s">
        <v>89</v>
      </c>
      <c r="Z14" s="19" t="s">
        <v>96</v>
      </c>
    </row>
    <row r="15" spans="1:61" x14ac:dyDescent="0.25">
      <c r="A15" t="s">
        <v>278</v>
      </c>
      <c r="B15" t="s">
        <v>277</v>
      </c>
      <c r="C15" s="25">
        <v>44128</v>
      </c>
      <c r="D15" s="9">
        <v>247500</v>
      </c>
      <c r="E15" t="s">
        <v>83</v>
      </c>
      <c r="F15" t="s">
        <v>84</v>
      </c>
      <c r="G15" s="9">
        <v>247500</v>
      </c>
      <c r="H15" s="9">
        <v>89850</v>
      </c>
      <c r="I15" s="23">
        <f t="shared" si="0"/>
        <v>36.303030303030305</v>
      </c>
      <c r="J15" s="9">
        <v>247531</v>
      </c>
      <c r="K15" s="9">
        <f>G15-216311</f>
        <v>31189</v>
      </c>
      <c r="L15" s="9">
        <v>31220</v>
      </c>
      <c r="M15" s="31">
        <v>1.1850000000000001</v>
      </c>
      <c r="N15" s="31">
        <v>1.1850000000000001</v>
      </c>
      <c r="O15" s="9">
        <f t="shared" si="1"/>
        <v>26319.831223628691</v>
      </c>
      <c r="P15" s="33">
        <f t="shared" si="2"/>
        <v>0.60422018419716916</v>
      </c>
      <c r="Q15" s="31">
        <v>0</v>
      </c>
      <c r="R15" s="18" t="s">
        <v>1</v>
      </c>
      <c r="S15" t="s">
        <v>276</v>
      </c>
      <c r="U15" t="s">
        <v>159</v>
      </c>
      <c r="V15">
        <v>0</v>
      </c>
      <c r="W15">
        <v>0</v>
      </c>
      <c r="X15" t="s">
        <v>89</v>
      </c>
      <c r="Z15" s="19" t="s">
        <v>96</v>
      </c>
    </row>
    <row r="16" spans="1:61" x14ac:dyDescent="0.25">
      <c r="A16" t="s">
        <v>275</v>
      </c>
      <c r="B16" t="s">
        <v>274</v>
      </c>
      <c r="C16" s="25">
        <v>44079</v>
      </c>
      <c r="D16" s="9">
        <v>278000</v>
      </c>
      <c r="E16" t="s">
        <v>83</v>
      </c>
      <c r="F16" t="s">
        <v>84</v>
      </c>
      <c r="G16" s="9">
        <v>278000</v>
      </c>
      <c r="H16" s="9">
        <v>101750</v>
      </c>
      <c r="I16" s="23">
        <f t="shared" si="0"/>
        <v>36.600719424460429</v>
      </c>
      <c r="J16" s="9">
        <v>275038</v>
      </c>
      <c r="K16" s="9">
        <f>G16-243818</f>
        <v>34182</v>
      </c>
      <c r="L16" s="9">
        <v>31220</v>
      </c>
      <c r="M16" s="31">
        <v>1.1850000000000001</v>
      </c>
      <c r="N16" s="31">
        <v>1.1850000000000001</v>
      </c>
      <c r="O16" s="9">
        <f t="shared" si="1"/>
        <v>28845.569620253162</v>
      </c>
      <c r="P16" s="33">
        <f t="shared" si="2"/>
        <v>0.66220315932628926</v>
      </c>
      <c r="Q16" s="31">
        <v>0</v>
      </c>
      <c r="R16" s="18" t="s">
        <v>1</v>
      </c>
      <c r="S16" t="s">
        <v>273</v>
      </c>
      <c r="U16" t="s">
        <v>159</v>
      </c>
      <c r="V16">
        <v>0</v>
      </c>
      <c r="W16">
        <v>0</v>
      </c>
      <c r="X16" t="s">
        <v>89</v>
      </c>
      <c r="Z16" s="19" t="s">
        <v>96</v>
      </c>
    </row>
    <row r="17" spans="1:26" x14ac:dyDescent="0.25">
      <c r="A17" t="s">
        <v>272</v>
      </c>
      <c r="B17" t="s">
        <v>271</v>
      </c>
      <c r="C17" s="25">
        <v>44274</v>
      </c>
      <c r="D17" s="9">
        <v>166000</v>
      </c>
      <c r="E17" t="s">
        <v>83</v>
      </c>
      <c r="F17" t="s">
        <v>84</v>
      </c>
      <c r="G17" s="9">
        <v>166000</v>
      </c>
      <c r="H17" s="9">
        <v>62750</v>
      </c>
      <c r="I17" s="23">
        <f t="shared" si="0"/>
        <v>37.801204819277103</v>
      </c>
      <c r="J17" s="9">
        <v>147906</v>
      </c>
      <c r="K17" s="9">
        <f>G17-117130</f>
        <v>48870</v>
      </c>
      <c r="L17" s="9">
        <v>30776</v>
      </c>
      <c r="M17" s="31">
        <v>1.1479999999999999</v>
      </c>
      <c r="N17" s="31">
        <v>1.1479999999999999</v>
      </c>
      <c r="O17" s="9">
        <f t="shared" si="1"/>
        <v>42569.686411149829</v>
      </c>
      <c r="P17" s="33">
        <f t="shared" si="2"/>
        <v>0.97726552826331103</v>
      </c>
      <c r="Q17" s="31">
        <v>0</v>
      </c>
      <c r="R17" s="18" t="s">
        <v>1</v>
      </c>
      <c r="S17" t="s">
        <v>270</v>
      </c>
      <c r="U17" t="s">
        <v>159</v>
      </c>
      <c r="V17">
        <v>0</v>
      </c>
      <c r="W17">
        <v>0</v>
      </c>
      <c r="X17" s="20">
        <v>44293</v>
      </c>
      <c r="Z17" s="19" t="s">
        <v>96</v>
      </c>
    </row>
    <row r="18" spans="1:26" x14ac:dyDescent="0.25">
      <c r="A18" t="s">
        <v>269</v>
      </c>
      <c r="B18" t="s">
        <v>268</v>
      </c>
      <c r="C18" s="25">
        <v>44204</v>
      </c>
      <c r="D18" s="9">
        <v>225000</v>
      </c>
      <c r="E18" t="s">
        <v>83</v>
      </c>
      <c r="F18" t="s">
        <v>84</v>
      </c>
      <c r="G18" s="9">
        <v>225000</v>
      </c>
      <c r="H18" s="9">
        <v>88650</v>
      </c>
      <c r="I18" s="23">
        <f t="shared" si="0"/>
        <v>39.4</v>
      </c>
      <c r="J18" s="9">
        <v>208703</v>
      </c>
      <c r="K18" s="9">
        <f>G18-179703</f>
        <v>45297</v>
      </c>
      <c r="L18" s="9">
        <v>29000</v>
      </c>
      <c r="M18" s="31">
        <v>1</v>
      </c>
      <c r="N18" s="31">
        <v>1</v>
      </c>
      <c r="O18" s="9">
        <f t="shared" si="1"/>
        <v>45297</v>
      </c>
      <c r="P18" s="33">
        <f t="shared" si="2"/>
        <v>1.0398760330578511</v>
      </c>
      <c r="Q18" s="31">
        <v>0</v>
      </c>
      <c r="R18" s="18" t="s">
        <v>1</v>
      </c>
      <c r="S18" t="s">
        <v>267</v>
      </c>
      <c r="U18" t="s">
        <v>159</v>
      </c>
      <c r="V18">
        <v>0</v>
      </c>
      <c r="W18">
        <v>0</v>
      </c>
      <c r="X18" s="20">
        <v>42975</v>
      </c>
      <c r="Z18" s="19" t="s">
        <v>96</v>
      </c>
    </row>
    <row r="19" spans="1:26" x14ac:dyDescent="0.25">
      <c r="A19" t="s">
        <v>266</v>
      </c>
      <c r="B19" t="s">
        <v>265</v>
      </c>
      <c r="C19" s="25">
        <v>44169</v>
      </c>
      <c r="D19" s="9">
        <v>252500</v>
      </c>
      <c r="E19" t="s">
        <v>106</v>
      </c>
      <c r="F19" t="s">
        <v>84</v>
      </c>
      <c r="G19" s="9">
        <v>252500</v>
      </c>
      <c r="H19" s="9">
        <v>0</v>
      </c>
      <c r="I19" s="23">
        <f t="shared" si="0"/>
        <v>0</v>
      </c>
      <c r="J19" s="9">
        <v>220344</v>
      </c>
      <c r="K19" s="79">
        <f>G19-188344</f>
        <v>64156</v>
      </c>
      <c r="L19" s="9">
        <v>32000</v>
      </c>
      <c r="M19" s="78">
        <v>1.25</v>
      </c>
      <c r="N19" s="31">
        <v>1.25</v>
      </c>
      <c r="O19" s="9">
        <f t="shared" si="1"/>
        <v>51324.800000000003</v>
      </c>
      <c r="P19" s="33">
        <f t="shared" si="2"/>
        <v>1.178255280073462</v>
      </c>
      <c r="Q19" s="31">
        <v>0</v>
      </c>
      <c r="R19" s="18" t="s">
        <v>1</v>
      </c>
      <c r="S19" t="s">
        <v>264</v>
      </c>
      <c r="U19" t="s">
        <v>159</v>
      </c>
      <c r="V19">
        <v>0</v>
      </c>
      <c r="W19">
        <v>0</v>
      </c>
      <c r="X19" s="20">
        <v>44431</v>
      </c>
      <c r="Z19" s="19" t="s">
        <v>96</v>
      </c>
    </row>
    <row r="20" spans="1:26" ht="15.75" thickBot="1" x14ac:dyDescent="0.3">
      <c r="K20" s="9">
        <f>SUM(K12:K19)</f>
        <v>280981</v>
      </c>
      <c r="M20" s="31">
        <f>SUM(M12:M19)</f>
        <v>8.6579999999999995</v>
      </c>
      <c r="R20" s="18"/>
      <c r="X20" s="20"/>
      <c r="Z20" s="19"/>
    </row>
    <row r="21" spans="1:26" ht="15.75" thickBot="1" x14ac:dyDescent="0.3">
      <c r="N21" s="31">
        <f>K20/M20</f>
        <v>32453.337953337956</v>
      </c>
      <c r="O21" s="77">
        <f>N21*1</f>
        <v>32453.337953337956</v>
      </c>
      <c r="R21" s="18"/>
      <c r="X21" s="20"/>
      <c r="Z21" s="19"/>
    </row>
    <row r="22" spans="1:26" ht="15.75" thickBot="1" x14ac:dyDescent="0.3">
      <c r="R22" s="18"/>
      <c r="X22" s="20"/>
      <c r="Z22" s="19"/>
    </row>
    <row r="23" spans="1:26" ht="15.75" thickBot="1" x14ac:dyDescent="0.3">
      <c r="M23" s="80" t="s">
        <v>263</v>
      </c>
      <c r="R23" s="18"/>
      <c r="X23" s="20"/>
      <c r="Z23" s="19"/>
    </row>
    <row r="24" spans="1:26" x14ac:dyDescent="0.25">
      <c r="A24" t="s">
        <v>262</v>
      </c>
      <c r="B24" t="s">
        <v>261</v>
      </c>
      <c r="C24" s="25">
        <v>44424</v>
      </c>
      <c r="D24" s="9">
        <v>267500</v>
      </c>
      <c r="E24" t="s">
        <v>106</v>
      </c>
      <c r="F24" t="s">
        <v>84</v>
      </c>
      <c r="G24" s="9">
        <v>267500</v>
      </c>
      <c r="H24" s="9">
        <v>93600</v>
      </c>
      <c r="I24" s="23">
        <f>H24/G24*100</f>
        <v>34.990654205607477</v>
      </c>
      <c r="J24" s="9">
        <v>215411</v>
      </c>
      <c r="K24" s="9">
        <f>G24-181251</f>
        <v>86249</v>
      </c>
      <c r="L24" s="9">
        <v>34160</v>
      </c>
      <c r="M24" s="31">
        <v>1.43</v>
      </c>
      <c r="N24" s="31">
        <v>1.43</v>
      </c>
      <c r="O24" s="9">
        <f>K24/M24</f>
        <v>60313.986013986017</v>
      </c>
      <c r="P24" s="33">
        <f>K24/M24/43560</f>
        <v>1.3846185953623971</v>
      </c>
      <c r="Q24" s="31">
        <v>0</v>
      </c>
      <c r="R24" s="18" t="s">
        <v>1</v>
      </c>
      <c r="S24" t="s">
        <v>260</v>
      </c>
      <c r="U24" t="s">
        <v>159</v>
      </c>
      <c r="V24">
        <v>0</v>
      </c>
      <c r="W24">
        <v>0</v>
      </c>
      <c r="X24" t="s">
        <v>89</v>
      </c>
      <c r="Z24" s="19" t="s">
        <v>96</v>
      </c>
    </row>
    <row r="25" spans="1:26" x14ac:dyDescent="0.25">
      <c r="A25" t="s">
        <v>259</v>
      </c>
      <c r="B25" t="s">
        <v>258</v>
      </c>
      <c r="C25" s="25">
        <v>44134</v>
      </c>
      <c r="D25" s="9">
        <v>345000</v>
      </c>
      <c r="E25" t="s">
        <v>83</v>
      </c>
      <c r="F25" t="s">
        <v>84</v>
      </c>
      <c r="G25" s="9">
        <v>345000</v>
      </c>
      <c r="H25" s="9">
        <v>130150</v>
      </c>
      <c r="I25" s="23">
        <f>H25/G25*100</f>
        <v>37.724637681159422</v>
      </c>
      <c r="J25" s="9">
        <v>304267</v>
      </c>
      <c r="K25" s="79">
        <f>G25-269267</f>
        <v>75733</v>
      </c>
      <c r="L25" s="9">
        <v>35000</v>
      </c>
      <c r="M25" s="78">
        <v>1.5</v>
      </c>
      <c r="N25" s="31">
        <v>1.5</v>
      </c>
      <c r="O25" s="9">
        <f>K25/M25</f>
        <v>50488.666666666664</v>
      </c>
      <c r="P25" s="33">
        <f>K25/M25/43560</f>
        <v>1.1590602999693909</v>
      </c>
      <c r="Q25" s="31">
        <v>0</v>
      </c>
      <c r="R25" s="18" t="s">
        <v>1</v>
      </c>
      <c r="S25" t="s">
        <v>257</v>
      </c>
      <c r="U25" t="s">
        <v>159</v>
      </c>
      <c r="V25">
        <v>0</v>
      </c>
      <c r="W25">
        <v>0</v>
      </c>
      <c r="X25" t="s">
        <v>89</v>
      </c>
      <c r="Z25" s="19" t="s">
        <v>96</v>
      </c>
    </row>
    <row r="26" spans="1:26" ht="15.75" thickBot="1" x14ac:dyDescent="0.3">
      <c r="K26" s="9">
        <f>SUM(K24:K25)</f>
        <v>161982</v>
      </c>
      <c r="M26" s="31">
        <f>SUM(M24:M25)</f>
        <v>2.9299999999999997</v>
      </c>
      <c r="R26" s="18"/>
      <c r="Z26" s="19"/>
    </row>
    <row r="27" spans="1:26" ht="15.75" thickBot="1" x14ac:dyDescent="0.3">
      <c r="N27" s="31">
        <f>K26/M26</f>
        <v>55283.959044368603</v>
      </c>
      <c r="O27" s="77">
        <f>(O21+O35)/2</f>
        <v>39489.677491333125</v>
      </c>
      <c r="R27" s="18"/>
      <c r="Z27" s="19"/>
    </row>
    <row r="28" spans="1:26" ht="15.75" thickBot="1" x14ac:dyDescent="0.3">
      <c r="R28" s="18"/>
      <c r="Z28" s="19"/>
    </row>
    <row r="29" spans="1:26" ht="15.75" thickBot="1" x14ac:dyDescent="0.3">
      <c r="M29" s="80" t="s">
        <v>256</v>
      </c>
      <c r="R29" s="18"/>
      <c r="Z29" s="19"/>
    </row>
    <row r="30" spans="1:26" x14ac:dyDescent="0.25">
      <c r="A30" t="s">
        <v>255</v>
      </c>
      <c r="B30" t="s">
        <v>254</v>
      </c>
      <c r="C30" s="25">
        <v>44771</v>
      </c>
      <c r="D30" s="9">
        <v>360000</v>
      </c>
      <c r="E30" t="s">
        <v>83</v>
      </c>
      <c r="F30" t="s">
        <v>84</v>
      </c>
      <c r="G30" s="9">
        <v>360000</v>
      </c>
      <c r="H30" s="9">
        <v>159100</v>
      </c>
      <c r="I30" s="23">
        <f>H30/G30*100</f>
        <v>44.194444444444443</v>
      </c>
      <c r="J30" s="9">
        <v>336909</v>
      </c>
      <c r="K30" s="9">
        <f>G30-298069</f>
        <v>61931</v>
      </c>
      <c r="L30" s="9">
        <v>38840</v>
      </c>
      <c r="M30" s="31">
        <v>1.98</v>
      </c>
      <c r="N30" s="31">
        <v>1.98</v>
      </c>
      <c r="O30" s="9">
        <f>K30/M30</f>
        <v>31278.282828282827</v>
      </c>
      <c r="P30" s="33">
        <f>K30/M30/43560</f>
        <v>0.71805056997894456</v>
      </c>
      <c r="Q30" s="31">
        <v>0</v>
      </c>
      <c r="R30" s="18" t="s">
        <v>1</v>
      </c>
      <c r="S30" t="s">
        <v>253</v>
      </c>
      <c r="U30" t="s">
        <v>159</v>
      </c>
      <c r="V30">
        <v>0</v>
      </c>
      <c r="W30">
        <v>0</v>
      </c>
      <c r="X30" t="s">
        <v>89</v>
      </c>
      <c r="Z30" s="19" t="s">
        <v>96</v>
      </c>
    </row>
    <row r="31" spans="1:26" x14ac:dyDescent="0.25">
      <c r="A31" t="s">
        <v>252</v>
      </c>
      <c r="B31" t="s">
        <v>251</v>
      </c>
      <c r="C31" s="25">
        <v>44046</v>
      </c>
      <c r="D31" s="9">
        <v>223600</v>
      </c>
      <c r="E31" t="s">
        <v>83</v>
      </c>
      <c r="F31" t="s">
        <v>84</v>
      </c>
      <c r="G31" s="9">
        <v>223600</v>
      </c>
      <c r="H31" s="9">
        <v>95350</v>
      </c>
      <c r="I31" s="23">
        <f>H31/G31*100</f>
        <v>42.643112701252235</v>
      </c>
      <c r="J31" s="9">
        <v>215215</v>
      </c>
      <c r="K31" s="9">
        <f>G31-176215</f>
        <v>47385</v>
      </c>
      <c r="L31" s="9">
        <v>39000</v>
      </c>
      <c r="M31" s="31">
        <v>2</v>
      </c>
      <c r="N31" s="31">
        <v>2</v>
      </c>
      <c r="O31" s="9">
        <f>K31/M31</f>
        <v>23692.5</v>
      </c>
      <c r="P31" s="33">
        <f>K31/M31/43560</f>
        <v>0.54390495867768596</v>
      </c>
      <c r="Q31" s="31">
        <v>264</v>
      </c>
      <c r="R31" s="18" t="s">
        <v>1</v>
      </c>
      <c r="S31" t="s">
        <v>250</v>
      </c>
      <c r="U31" t="s">
        <v>159</v>
      </c>
      <c r="V31">
        <v>0</v>
      </c>
      <c r="W31">
        <v>0</v>
      </c>
      <c r="X31" t="s">
        <v>89</v>
      </c>
      <c r="Z31" s="19" t="s">
        <v>96</v>
      </c>
    </row>
    <row r="32" spans="1:26" x14ac:dyDescent="0.25">
      <c r="A32" t="s">
        <v>249</v>
      </c>
      <c r="B32" t="s">
        <v>248</v>
      </c>
      <c r="C32" s="25">
        <v>44316</v>
      </c>
      <c r="D32" s="9">
        <v>360000</v>
      </c>
      <c r="E32" t="s">
        <v>106</v>
      </c>
      <c r="F32" t="s">
        <v>84</v>
      </c>
      <c r="G32" s="9">
        <v>360000</v>
      </c>
      <c r="H32" s="9">
        <v>0</v>
      </c>
      <c r="I32" s="23">
        <f>H32/G32*100</f>
        <v>0</v>
      </c>
      <c r="J32" s="9">
        <v>365493</v>
      </c>
      <c r="K32" s="9">
        <f>G32-325053</f>
        <v>34947</v>
      </c>
      <c r="L32" s="9">
        <v>40440</v>
      </c>
      <c r="M32" s="31">
        <v>2.1800000000000002</v>
      </c>
      <c r="N32" s="31">
        <v>2.1800000000000002</v>
      </c>
      <c r="O32" s="9">
        <f>K32/M32</f>
        <v>16030.733944954127</v>
      </c>
      <c r="P32" s="33">
        <f>K32/M32/43560</f>
        <v>0.36801501251042534</v>
      </c>
      <c r="Q32" s="31">
        <v>0</v>
      </c>
      <c r="R32" s="18" t="s">
        <v>1</v>
      </c>
      <c r="S32" t="s">
        <v>247</v>
      </c>
      <c r="U32" t="s">
        <v>159</v>
      </c>
      <c r="V32">
        <v>0</v>
      </c>
      <c r="W32">
        <v>0</v>
      </c>
      <c r="X32" s="20">
        <v>44431</v>
      </c>
      <c r="Z32" s="19" t="s">
        <v>96</v>
      </c>
    </row>
    <row r="33" spans="1:26" x14ac:dyDescent="0.25">
      <c r="A33" t="s">
        <v>246</v>
      </c>
      <c r="B33" t="s">
        <v>245</v>
      </c>
      <c r="C33" s="25">
        <v>44078</v>
      </c>
      <c r="D33" s="9">
        <v>249900</v>
      </c>
      <c r="E33" t="s">
        <v>83</v>
      </c>
      <c r="F33" t="s">
        <v>84</v>
      </c>
      <c r="G33" s="9">
        <v>249900</v>
      </c>
      <c r="H33" s="9">
        <v>103000</v>
      </c>
      <c r="I33" s="23">
        <f>H33/G33*100</f>
        <v>41.216486594637857</v>
      </c>
      <c r="J33" s="9">
        <v>238819</v>
      </c>
      <c r="K33" s="79">
        <f>G33-197451</f>
        <v>52449</v>
      </c>
      <c r="L33" s="9">
        <v>41368</v>
      </c>
      <c r="M33" s="78">
        <v>2.2959999999999998</v>
      </c>
      <c r="N33" s="31">
        <v>2.2959999999999998</v>
      </c>
      <c r="O33" s="9">
        <f>K33/M33</f>
        <v>22843.64111498258</v>
      </c>
      <c r="P33" s="33">
        <f>K33/M33/43560</f>
        <v>0.52441784010520154</v>
      </c>
      <c r="Q33" s="31">
        <v>200</v>
      </c>
      <c r="R33" s="18" t="s">
        <v>1</v>
      </c>
      <c r="S33" t="s">
        <v>244</v>
      </c>
      <c r="U33" t="s">
        <v>159</v>
      </c>
      <c r="V33">
        <v>0</v>
      </c>
      <c r="W33">
        <v>0</v>
      </c>
      <c r="X33" t="s">
        <v>89</v>
      </c>
      <c r="Z33" s="19" t="s">
        <v>96</v>
      </c>
    </row>
    <row r="34" spans="1:26" ht="15.75" thickBot="1" x14ac:dyDescent="0.3">
      <c r="K34" s="9">
        <f>SUM(K30:K33)</f>
        <v>196712</v>
      </c>
      <c r="M34" s="31">
        <f>SUM(M30:M33)</f>
        <v>8.4559999999999995</v>
      </c>
      <c r="R34" s="18"/>
      <c r="Z34" s="19"/>
    </row>
    <row r="35" spans="1:26" ht="15.75" thickBot="1" x14ac:dyDescent="0.3">
      <c r="N35" s="31">
        <f>K34/M34</f>
        <v>23263.008514664147</v>
      </c>
      <c r="O35" s="77">
        <f>N35*2</f>
        <v>46526.017029328294</v>
      </c>
      <c r="R35" s="18"/>
      <c r="Z35" s="19"/>
    </row>
    <row r="36" spans="1:26" ht="15.75" thickBot="1" x14ac:dyDescent="0.3">
      <c r="R36" s="18"/>
      <c r="Z36" s="19"/>
    </row>
    <row r="37" spans="1:26" ht="15.75" thickBot="1" x14ac:dyDescent="0.3">
      <c r="M37" s="80" t="s">
        <v>243</v>
      </c>
      <c r="R37" s="18"/>
      <c r="Z37" s="19"/>
    </row>
    <row r="38" spans="1:26" x14ac:dyDescent="0.25">
      <c r="A38" t="s">
        <v>242</v>
      </c>
      <c r="B38" t="s">
        <v>241</v>
      </c>
      <c r="C38" s="25">
        <v>43712</v>
      </c>
      <c r="D38" s="9">
        <v>32500</v>
      </c>
      <c r="E38" t="s">
        <v>83</v>
      </c>
      <c r="F38" t="s">
        <v>84</v>
      </c>
      <c r="G38" s="9">
        <v>32500</v>
      </c>
      <c r="H38" s="9">
        <v>15000</v>
      </c>
      <c r="I38" s="23">
        <f>H38/G38*100</f>
        <v>46.153846153846153</v>
      </c>
      <c r="J38" s="9">
        <v>43000</v>
      </c>
      <c r="K38" s="9">
        <v>38500</v>
      </c>
      <c r="L38" s="9">
        <v>43000</v>
      </c>
      <c r="M38" s="31">
        <v>2.5</v>
      </c>
      <c r="N38" s="31">
        <v>2.5</v>
      </c>
      <c r="O38" s="9">
        <f>K38/M38</f>
        <v>15400</v>
      </c>
      <c r="P38" s="33">
        <f>K38/M38/43560</f>
        <v>0.35353535353535354</v>
      </c>
      <c r="Q38" s="31">
        <v>0</v>
      </c>
      <c r="R38" s="18" t="s">
        <v>1</v>
      </c>
      <c r="S38" t="s">
        <v>240</v>
      </c>
      <c r="U38" t="s">
        <v>159</v>
      </c>
      <c r="V38">
        <v>0</v>
      </c>
      <c r="W38">
        <v>0</v>
      </c>
      <c r="X38" t="s">
        <v>89</v>
      </c>
      <c r="Z38" s="19" t="s">
        <v>99</v>
      </c>
    </row>
    <row r="39" spans="1:26" x14ac:dyDescent="0.25">
      <c r="A39" t="s">
        <v>239</v>
      </c>
      <c r="B39" t="s">
        <v>238</v>
      </c>
      <c r="C39" s="25">
        <v>44503</v>
      </c>
      <c r="D39" s="9">
        <v>54500</v>
      </c>
      <c r="E39" t="s">
        <v>106</v>
      </c>
      <c r="F39" t="s">
        <v>84</v>
      </c>
      <c r="G39" s="9">
        <v>54500</v>
      </c>
      <c r="H39" s="9">
        <v>21500</v>
      </c>
      <c r="I39" s="23">
        <f>H39/G39*100</f>
        <v>39.449541284403672</v>
      </c>
      <c r="J39" s="9">
        <v>43600</v>
      </c>
      <c r="K39" s="79">
        <f>G39-0</f>
        <v>54500</v>
      </c>
      <c r="L39" s="9">
        <v>43600</v>
      </c>
      <c r="M39" s="78">
        <v>2.56</v>
      </c>
      <c r="N39" s="31">
        <v>2.56</v>
      </c>
      <c r="O39" s="9">
        <f>K39/M39</f>
        <v>21289.0625</v>
      </c>
      <c r="P39" s="33">
        <f>K39/M39/43560</f>
        <v>0.48872962580348944</v>
      </c>
      <c r="Q39" s="31">
        <v>0</v>
      </c>
      <c r="R39" s="18" t="s">
        <v>1</v>
      </c>
      <c r="S39" t="s">
        <v>237</v>
      </c>
      <c r="U39" t="s">
        <v>159</v>
      </c>
      <c r="V39">
        <v>0</v>
      </c>
      <c r="W39">
        <v>0</v>
      </c>
      <c r="X39" t="s">
        <v>89</v>
      </c>
      <c r="Z39" s="19" t="s">
        <v>99</v>
      </c>
    </row>
    <row r="40" spans="1:26" ht="15.75" thickBot="1" x14ac:dyDescent="0.3">
      <c r="K40" s="9">
        <f>SUM(K38:K39)</f>
        <v>93000</v>
      </c>
      <c r="M40" s="31">
        <f>SUM(M38:M39)</f>
        <v>5.0600000000000005</v>
      </c>
      <c r="R40" s="18"/>
      <c r="Z40" s="19"/>
    </row>
    <row r="41" spans="1:26" ht="15.75" thickBot="1" x14ac:dyDescent="0.3">
      <c r="N41" s="31">
        <f>K40/M40</f>
        <v>18379.446640316204</v>
      </c>
      <c r="O41" s="77">
        <f>N41*2.5</f>
        <v>45948.616600790512</v>
      </c>
      <c r="R41" s="18"/>
      <c r="Z41" s="19"/>
    </row>
    <row r="42" spans="1:26" ht="15.75" thickBot="1" x14ac:dyDescent="0.3">
      <c r="R42" s="18"/>
      <c r="Z42" s="19"/>
    </row>
    <row r="43" spans="1:26" ht="15.75" thickBot="1" x14ac:dyDescent="0.3">
      <c r="M43" s="80" t="s">
        <v>236</v>
      </c>
      <c r="R43" s="18"/>
      <c r="Z43" s="19"/>
    </row>
    <row r="44" spans="1:26" x14ac:dyDescent="0.25">
      <c r="A44" t="s">
        <v>235</v>
      </c>
      <c r="B44" t="s">
        <v>234</v>
      </c>
      <c r="C44" s="25">
        <v>44622</v>
      </c>
      <c r="D44" s="9">
        <v>30000</v>
      </c>
      <c r="E44" t="s">
        <v>233</v>
      </c>
      <c r="F44" t="s">
        <v>84</v>
      </c>
      <c r="G44" s="9">
        <v>30000</v>
      </c>
      <c r="H44" s="9">
        <v>0</v>
      </c>
      <c r="I44" s="23">
        <f t="shared" ref="I44:I49" si="3">H44/G44*100</f>
        <v>0</v>
      </c>
      <c r="J44" s="9">
        <v>48000</v>
      </c>
      <c r="K44" s="9">
        <f>G44-0</f>
        <v>30000</v>
      </c>
      <c r="L44" s="9">
        <v>48000</v>
      </c>
      <c r="M44" s="31">
        <v>3</v>
      </c>
      <c r="N44" s="31">
        <v>3</v>
      </c>
      <c r="O44" s="9">
        <f t="shared" ref="O44:O49" si="4">K44/M44</f>
        <v>10000</v>
      </c>
      <c r="P44" s="33">
        <f t="shared" ref="P44:P49" si="5">K44/M44/43560</f>
        <v>0.2295684113865932</v>
      </c>
      <c r="Q44" s="31">
        <v>0</v>
      </c>
      <c r="R44" s="18" t="s">
        <v>85</v>
      </c>
      <c r="S44" t="s">
        <v>232</v>
      </c>
      <c r="U44" t="s">
        <v>159</v>
      </c>
      <c r="V44">
        <v>0</v>
      </c>
      <c r="W44">
        <v>0</v>
      </c>
      <c r="X44" t="s">
        <v>89</v>
      </c>
      <c r="Z44" s="19" t="s">
        <v>99</v>
      </c>
    </row>
    <row r="45" spans="1:26" x14ac:dyDescent="0.25">
      <c r="A45" t="s">
        <v>231</v>
      </c>
      <c r="B45" t="s">
        <v>230</v>
      </c>
      <c r="C45" s="25">
        <v>44599</v>
      </c>
      <c r="D45" s="9">
        <v>50000</v>
      </c>
      <c r="E45" t="s">
        <v>229</v>
      </c>
      <c r="F45" t="s">
        <v>84</v>
      </c>
      <c r="G45" s="9">
        <v>50000</v>
      </c>
      <c r="H45" s="9">
        <v>0</v>
      </c>
      <c r="I45" s="23">
        <f t="shared" si="3"/>
        <v>0</v>
      </c>
      <c r="J45" s="9">
        <v>48000</v>
      </c>
      <c r="K45" s="9">
        <f>G45-0</f>
        <v>50000</v>
      </c>
      <c r="L45" s="9">
        <v>48000</v>
      </c>
      <c r="M45" s="31">
        <v>3</v>
      </c>
      <c r="N45" s="31">
        <v>3</v>
      </c>
      <c r="O45" s="9">
        <f t="shared" si="4"/>
        <v>16666.666666666668</v>
      </c>
      <c r="P45" s="33">
        <f t="shared" si="5"/>
        <v>0.38261401897765535</v>
      </c>
      <c r="Q45" s="31">
        <v>0</v>
      </c>
      <c r="R45" s="18" t="s">
        <v>1</v>
      </c>
      <c r="S45" t="s">
        <v>228</v>
      </c>
      <c r="U45" t="s">
        <v>159</v>
      </c>
      <c r="V45">
        <v>0</v>
      </c>
      <c r="W45">
        <v>0</v>
      </c>
      <c r="X45" t="s">
        <v>89</v>
      </c>
      <c r="Z45" s="19" t="s">
        <v>96</v>
      </c>
    </row>
    <row r="46" spans="1:26" x14ac:dyDescent="0.25">
      <c r="A46" t="s">
        <v>227</v>
      </c>
      <c r="B46" t="s">
        <v>226</v>
      </c>
      <c r="C46" s="25">
        <v>44449</v>
      </c>
      <c r="D46" s="9">
        <v>365000</v>
      </c>
      <c r="E46" t="s">
        <v>83</v>
      </c>
      <c r="F46" t="s">
        <v>84</v>
      </c>
      <c r="G46" s="9">
        <v>365000</v>
      </c>
      <c r="H46" s="9">
        <v>109100</v>
      </c>
      <c r="I46" s="23">
        <f t="shared" si="3"/>
        <v>29.890410958904113</v>
      </c>
      <c r="J46" s="9">
        <v>250323</v>
      </c>
      <c r="K46" s="9">
        <f>G46-202323</f>
        <v>162677</v>
      </c>
      <c r="L46" s="9">
        <v>48000</v>
      </c>
      <c r="M46" s="31">
        <v>3</v>
      </c>
      <c r="N46" s="31">
        <v>3</v>
      </c>
      <c r="O46" s="9">
        <f t="shared" si="4"/>
        <v>54225.666666666664</v>
      </c>
      <c r="P46" s="33">
        <f t="shared" si="5"/>
        <v>1.2448500153045607</v>
      </c>
      <c r="Q46" s="31">
        <v>0</v>
      </c>
      <c r="R46" s="18" t="s">
        <v>1</v>
      </c>
      <c r="S46" t="s">
        <v>225</v>
      </c>
      <c r="U46" t="s">
        <v>159</v>
      </c>
      <c r="V46">
        <v>0</v>
      </c>
      <c r="W46">
        <v>0</v>
      </c>
      <c r="X46" t="s">
        <v>89</v>
      </c>
      <c r="Z46" s="19" t="s">
        <v>96</v>
      </c>
    </row>
    <row r="47" spans="1:26" x14ac:dyDescent="0.25">
      <c r="A47" t="s">
        <v>224</v>
      </c>
      <c r="B47" t="s">
        <v>223</v>
      </c>
      <c r="C47" s="25">
        <v>44043</v>
      </c>
      <c r="D47" s="9">
        <v>354900</v>
      </c>
      <c r="E47" t="s">
        <v>83</v>
      </c>
      <c r="F47" t="s">
        <v>84</v>
      </c>
      <c r="G47" s="9">
        <v>354900</v>
      </c>
      <c r="H47" s="9">
        <v>151350</v>
      </c>
      <c r="I47" s="23">
        <f t="shared" si="3"/>
        <v>42.645815722738803</v>
      </c>
      <c r="J47" s="9">
        <v>357252</v>
      </c>
      <c r="K47" s="9">
        <f>G47-307453</f>
        <v>47447</v>
      </c>
      <c r="L47" s="9">
        <v>49799</v>
      </c>
      <c r="M47" s="31">
        <v>3.2570000000000001</v>
      </c>
      <c r="N47" s="31">
        <v>3.2570000000000001</v>
      </c>
      <c r="O47" s="9">
        <f t="shared" si="4"/>
        <v>14567.70033773411</v>
      </c>
      <c r="P47" s="33">
        <f t="shared" si="5"/>
        <v>0.33442838240895567</v>
      </c>
      <c r="Q47" s="31">
        <v>0</v>
      </c>
      <c r="R47" s="18" t="s">
        <v>1</v>
      </c>
      <c r="S47" t="s">
        <v>222</v>
      </c>
      <c r="U47" t="s">
        <v>159</v>
      </c>
      <c r="V47">
        <v>0</v>
      </c>
      <c r="W47">
        <v>0</v>
      </c>
      <c r="X47" s="20">
        <v>44293</v>
      </c>
      <c r="Z47" s="19" t="s">
        <v>96</v>
      </c>
    </row>
    <row r="48" spans="1:26" x14ac:dyDescent="0.25">
      <c r="A48" t="s">
        <v>221</v>
      </c>
      <c r="B48" t="s">
        <v>220</v>
      </c>
      <c r="C48" s="25">
        <v>43952</v>
      </c>
      <c r="D48" s="9">
        <v>280700</v>
      </c>
      <c r="E48" t="s">
        <v>83</v>
      </c>
      <c r="F48" t="s">
        <v>84</v>
      </c>
      <c r="G48" s="9">
        <v>280700</v>
      </c>
      <c r="H48" s="9">
        <v>122700</v>
      </c>
      <c r="I48" s="23">
        <f t="shared" si="3"/>
        <v>43.712148200926251</v>
      </c>
      <c r="J48" s="9">
        <v>299635</v>
      </c>
      <c r="K48" s="9">
        <f>G48-249570</f>
        <v>31130</v>
      </c>
      <c r="L48" s="9">
        <v>50065</v>
      </c>
      <c r="M48" s="31">
        <v>3.2949999999999999</v>
      </c>
      <c r="N48" s="31">
        <v>3.2949999999999999</v>
      </c>
      <c r="O48" s="9">
        <f t="shared" si="4"/>
        <v>9447.6479514415787</v>
      </c>
      <c r="P48" s="33">
        <f t="shared" si="5"/>
        <v>0.2168881531552245</v>
      </c>
      <c r="Q48" s="31">
        <v>0</v>
      </c>
      <c r="R48" s="18" t="s">
        <v>1</v>
      </c>
      <c r="S48" t="s">
        <v>219</v>
      </c>
      <c r="U48" t="s">
        <v>159</v>
      </c>
      <c r="V48">
        <v>0</v>
      </c>
      <c r="W48">
        <v>0</v>
      </c>
      <c r="X48" t="s">
        <v>89</v>
      </c>
      <c r="Z48" s="19" t="s">
        <v>96</v>
      </c>
    </row>
    <row r="49" spans="1:26" x14ac:dyDescent="0.25">
      <c r="A49" t="s">
        <v>218</v>
      </c>
      <c r="B49" t="s">
        <v>217</v>
      </c>
      <c r="C49" s="25">
        <v>44025</v>
      </c>
      <c r="D49" s="9">
        <v>175000</v>
      </c>
      <c r="E49" t="s">
        <v>83</v>
      </c>
      <c r="F49" t="s">
        <v>84</v>
      </c>
      <c r="G49" s="9">
        <v>175000</v>
      </c>
      <c r="H49" s="9">
        <v>71200</v>
      </c>
      <c r="I49" s="23">
        <f t="shared" si="3"/>
        <v>40.685714285714283</v>
      </c>
      <c r="J49" s="9">
        <v>179871</v>
      </c>
      <c r="K49" s="79">
        <f>G49-128371</f>
        <v>46629</v>
      </c>
      <c r="L49" s="9">
        <v>51500</v>
      </c>
      <c r="M49" s="78">
        <v>3.5</v>
      </c>
      <c r="N49" s="31">
        <v>3.5</v>
      </c>
      <c r="O49" s="9">
        <f t="shared" si="4"/>
        <v>13322.571428571429</v>
      </c>
      <c r="P49" s="33">
        <f t="shared" si="5"/>
        <v>0.30584415584415586</v>
      </c>
      <c r="Q49" s="31">
        <v>0</v>
      </c>
      <c r="R49" s="18" t="s">
        <v>1</v>
      </c>
      <c r="S49" t="s">
        <v>216</v>
      </c>
      <c r="U49" t="s">
        <v>159</v>
      </c>
      <c r="V49">
        <v>0</v>
      </c>
      <c r="W49">
        <v>0</v>
      </c>
      <c r="X49" t="s">
        <v>89</v>
      </c>
      <c r="Z49" s="19" t="s">
        <v>96</v>
      </c>
    </row>
    <row r="50" spans="1:26" ht="15.75" thickBot="1" x14ac:dyDescent="0.3">
      <c r="K50" s="9">
        <f>SUM(K44:K49)</f>
        <v>367883</v>
      </c>
      <c r="M50" s="31">
        <f>SUM(M44:M49)</f>
        <v>19.052</v>
      </c>
      <c r="R50" s="18"/>
      <c r="Z50" s="19"/>
    </row>
    <row r="51" spans="1:26" ht="15.75" thickBot="1" x14ac:dyDescent="0.3">
      <c r="N51" s="31">
        <f>K50/M50</f>
        <v>19309.416334243124</v>
      </c>
      <c r="O51" s="77">
        <f>N51*3</f>
        <v>57928.249002729368</v>
      </c>
      <c r="R51" s="18"/>
      <c r="Z51" s="19"/>
    </row>
    <row r="52" spans="1:26" ht="15.75" thickBot="1" x14ac:dyDescent="0.3">
      <c r="R52" s="18"/>
      <c r="Z52" s="19"/>
    </row>
    <row r="53" spans="1:26" ht="15.75" thickBot="1" x14ac:dyDescent="0.3">
      <c r="M53" s="80" t="s">
        <v>215</v>
      </c>
      <c r="R53" s="18"/>
      <c r="Z53" s="19"/>
    </row>
    <row r="54" spans="1:26" x14ac:dyDescent="0.25">
      <c r="A54" t="s">
        <v>214</v>
      </c>
      <c r="B54" t="s">
        <v>211</v>
      </c>
      <c r="C54" s="25">
        <v>44098</v>
      </c>
      <c r="D54" s="9">
        <v>59225</v>
      </c>
      <c r="E54" t="s">
        <v>83</v>
      </c>
      <c r="F54" t="s">
        <v>84</v>
      </c>
      <c r="G54" s="9">
        <v>59225</v>
      </c>
      <c r="H54" s="9">
        <v>0</v>
      </c>
      <c r="I54" s="23">
        <f>H54/G54*100</f>
        <v>0</v>
      </c>
      <c r="J54" s="9">
        <v>52130</v>
      </c>
      <c r="K54" s="9">
        <f>G54-0</f>
        <v>59225</v>
      </c>
      <c r="L54" s="9">
        <v>52130</v>
      </c>
      <c r="M54" s="31">
        <v>3.59</v>
      </c>
      <c r="N54" s="31">
        <v>3.59</v>
      </c>
      <c r="O54" s="9">
        <f>K54/M54</f>
        <v>16497.214484679665</v>
      </c>
      <c r="P54" s="33">
        <f>K54/M54/43560</f>
        <v>0.37872393215518058</v>
      </c>
      <c r="Q54" s="31">
        <v>0</v>
      </c>
      <c r="R54" s="18" t="s">
        <v>1</v>
      </c>
      <c r="S54" t="s">
        <v>213</v>
      </c>
      <c r="U54" t="s">
        <v>159</v>
      </c>
      <c r="V54">
        <v>0</v>
      </c>
      <c r="W54">
        <v>0</v>
      </c>
      <c r="X54" t="s">
        <v>89</v>
      </c>
      <c r="Z54" s="19" t="s">
        <v>99</v>
      </c>
    </row>
    <row r="55" spans="1:26" x14ac:dyDescent="0.25">
      <c r="A55" t="s">
        <v>212</v>
      </c>
      <c r="B55" t="s">
        <v>211</v>
      </c>
      <c r="C55" s="25">
        <v>44180</v>
      </c>
      <c r="D55" s="9">
        <v>55000</v>
      </c>
      <c r="E55" t="s">
        <v>83</v>
      </c>
      <c r="F55" t="s">
        <v>84</v>
      </c>
      <c r="G55" s="9">
        <v>55000</v>
      </c>
      <c r="H55" s="9">
        <v>0</v>
      </c>
      <c r="I55" s="23">
        <f>H55/G55*100</f>
        <v>0</v>
      </c>
      <c r="J55" s="9">
        <v>52830</v>
      </c>
      <c r="K55" s="9">
        <f>G55-0</f>
        <v>55000</v>
      </c>
      <c r="L55" s="9">
        <v>52830</v>
      </c>
      <c r="M55" s="31">
        <v>3.69</v>
      </c>
      <c r="N55" s="31">
        <v>3.69</v>
      </c>
      <c r="O55" s="9">
        <f>K55/M55</f>
        <v>14905.149051490514</v>
      </c>
      <c r="P55" s="33">
        <f>K55/M55/43560</f>
        <v>0.34217513892310641</v>
      </c>
      <c r="Q55" s="31">
        <v>0</v>
      </c>
      <c r="R55" s="18" t="s">
        <v>1</v>
      </c>
      <c r="S55" t="s">
        <v>210</v>
      </c>
      <c r="U55" t="s">
        <v>159</v>
      </c>
      <c r="V55">
        <v>0</v>
      </c>
      <c r="W55">
        <v>0</v>
      </c>
      <c r="X55" t="s">
        <v>89</v>
      </c>
      <c r="Z55" s="19" t="s">
        <v>99</v>
      </c>
    </row>
    <row r="56" spans="1:26" x14ac:dyDescent="0.25">
      <c r="A56" t="s">
        <v>209</v>
      </c>
      <c r="B56" t="s">
        <v>208</v>
      </c>
      <c r="C56" s="25">
        <v>44316</v>
      </c>
      <c r="D56" s="9">
        <v>515000</v>
      </c>
      <c r="E56" t="s">
        <v>106</v>
      </c>
      <c r="F56" t="s">
        <v>84</v>
      </c>
      <c r="G56" s="9">
        <v>515000</v>
      </c>
      <c r="H56" s="9">
        <v>194700</v>
      </c>
      <c r="I56" s="23">
        <f>H56/G56*100</f>
        <v>37.805825242718448</v>
      </c>
      <c r="J56" s="9">
        <v>450585</v>
      </c>
      <c r="K56" s="9">
        <f>G56-396075</f>
        <v>118925</v>
      </c>
      <c r="L56" s="9">
        <v>54510</v>
      </c>
      <c r="M56" s="31">
        <v>3.93</v>
      </c>
      <c r="N56" s="31">
        <v>3.93</v>
      </c>
      <c r="O56" s="9">
        <f>K56/M56</f>
        <v>30260.814249363866</v>
      </c>
      <c r="P56" s="33">
        <f>K56/M56/43560</f>
        <v>0.69469270544912454</v>
      </c>
      <c r="Q56" s="31">
        <v>0</v>
      </c>
      <c r="R56" s="18" t="s">
        <v>1</v>
      </c>
      <c r="S56" t="s">
        <v>207</v>
      </c>
      <c r="U56" t="s">
        <v>159</v>
      </c>
      <c r="V56">
        <v>0</v>
      </c>
      <c r="W56">
        <v>0</v>
      </c>
      <c r="X56" s="20">
        <v>42975</v>
      </c>
      <c r="Z56" s="19" t="s">
        <v>96</v>
      </c>
    </row>
    <row r="57" spans="1:26" x14ac:dyDescent="0.25">
      <c r="A57" t="s">
        <v>206</v>
      </c>
      <c r="B57" t="s">
        <v>205</v>
      </c>
      <c r="C57" s="25">
        <v>44134</v>
      </c>
      <c r="D57" s="9">
        <v>276500</v>
      </c>
      <c r="E57" t="s">
        <v>83</v>
      </c>
      <c r="F57" t="s">
        <v>84</v>
      </c>
      <c r="G57" s="9">
        <v>276500</v>
      </c>
      <c r="H57" s="9">
        <v>114650</v>
      </c>
      <c r="I57" s="23">
        <f>H57/G57*100</f>
        <v>41.464737793851718</v>
      </c>
      <c r="J57" s="9">
        <v>285962</v>
      </c>
      <c r="K57" s="79">
        <f>G57-230962</f>
        <v>45538</v>
      </c>
      <c r="L57" s="9">
        <v>55000</v>
      </c>
      <c r="M57" s="78">
        <v>4</v>
      </c>
      <c r="N57" s="31">
        <v>4</v>
      </c>
      <c r="O57" s="9">
        <f>K57/M57</f>
        <v>11384.5</v>
      </c>
      <c r="P57" s="33">
        <f>K57/M57/43560</f>
        <v>0.26135215794306704</v>
      </c>
      <c r="Q57" s="31">
        <v>0</v>
      </c>
      <c r="R57" s="18" t="s">
        <v>1</v>
      </c>
      <c r="S57" t="s">
        <v>204</v>
      </c>
      <c r="U57" t="s">
        <v>159</v>
      </c>
      <c r="V57">
        <v>0</v>
      </c>
      <c r="W57">
        <v>0</v>
      </c>
      <c r="X57" s="20">
        <v>42975</v>
      </c>
      <c r="Z57" s="19" t="s">
        <v>96</v>
      </c>
    </row>
    <row r="58" spans="1:26" ht="15.75" thickBot="1" x14ac:dyDescent="0.3">
      <c r="K58" s="9">
        <f>SUM(K54:K57)</f>
        <v>278688</v>
      </c>
      <c r="M58" s="31">
        <f>SUM(M54:M57)</f>
        <v>15.209999999999999</v>
      </c>
      <c r="R58" s="18"/>
      <c r="X58" s="20"/>
      <c r="Z58" s="19"/>
    </row>
    <row r="59" spans="1:26" ht="15.75" thickBot="1" x14ac:dyDescent="0.3">
      <c r="N59" s="31">
        <f>K58/M58</f>
        <v>18322.682445759368</v>
      </c>
      <c r="O59" s="77">
        <f>N59*4</f>
        <v>73290.729783037474</v>
      </c>
      <c r="R59" s="18"/>
      <c r="X59" s="20"/>
      <c r="Z59" s="19"/>
    </row>
    <row r="60" spans="1:26" ht="15.75" thickBot="1" x14ac:dyDescent="0.3">
      <c r="R60" s="18"/>
      <c r="X60" s="20"/>
      <c r="Z60" s="19"/>
    </row>
    <row r="61" spans="1:26" ht="15.75" thickBot="1" x14ac:dyDescent="0.3">
      <c r="M61" s="80" t="s">
        <v>203</v>
      </c>
      <c r="R61" s="18"/>
      <c r="X61" s="20"/>
      <c r="Z61" s="19"/>
    </row>
    <row r="62" spans="1:26" x14ac:dyDescent="0.25">
      <c r="A62" t="s">
        <v>202</v>
      </c>
      <c r="B62" t="s">
        <v>201</v>
      </c>
      <c r="C62" s="25">
        <v>44110</v>
      </c>
      <c r="D62" s="9">
        <v>238750</v>
      </c>
      <c r="E62" t="s">
        <v>83</v>
      </c>
      <c r="F62" t="s">
        <v>84</v>
      </c>
      <c r="G62" s="9">
        <v>238750</v>
      </c>
      <c r="H62" s="9">
        <v>92500</v>
      </c>
      <c r="I62" s="23">
        <f>H62/G62*100</f>
        <v>38.7434554973822</v>
      </c>
      <c r="J62" s="9">
        <v>231063</v>
      </c>
      <c r="K62" s="9">
        <f>G62-172143</f>
        <v>66607</v>
      </c>
      <c r="L62" s="9">
        <v>58920</v>
      </c>
      <c r="M62" s="31">
        <v>4.9800000000000004</v>
      </c>
      <c r="N62" s="31">
        <v>4.9800000000000004</v>
      </c>
      <c r="O62" s="9">
        <f>K62/M62</f>
        <v>13374.899598393573</v>
      </c>
      <c r="P62" s="33">
        <f>K62/M62/43560</f>
        <v>0.30704544532583961</v>
      </c>
      <c r="Q62" s="31">
        <v>0</v>
      </c>
      <c r="R62" s="18" t="s">
        <v>1</v>
      </c>
      <c r="S62" t="s">
        <v>200</v>
      </c>
      <c r="U62" t="s">
        <v>159</v>
      </c>
      <c r="V62">
        <v>0</v>
      </c>
      <c r="W62">
        <v>0</v>
      </c>
      <c r="X62" s="20">
        <v>44431</v>
      </c>
      <c r="Z62" s="19" t="s">
        <v>96</v>
      </c>
    </row>
    <row r="63" spans="1:26" x14ac:dyDescent="0.25">
      <c r="A63" t="s">
        <v>199</v>
      </c>
      <c r="B63" t="s">
        <v>198</v>
      </c>
      <c r="C63" s="25">
        <v>43907</v>
      </c>
      <c r="D63" s="9">
        <v>385250</v>
      </c>
      <c r="E63" t="s">
        <v>83</v>
      </c>
      <c r="F63" t="s">
        <v>84</v>
      </c>
      <c r="G63" s="9">
        <v>385250</v>
      </c>
      <c r="H63" s="9">
        <v>143300</v>
      </c>
      <c r="I63" s="23">
        <f>H63/G63*100</f>
        <v>37.196625567813108</v>
      </c>
      <c r="J63" s="9">
        <v>391577</v>
      </c>
      <c r="K63" s="79">
        <f>G63-331227</f>
        <v>54023</v>
      </c>
      <c r="L63" s="9">
        <v>60350</v>
      </c>
      <c r="M63" s="78">
        <v>5.27</v>
      </c>
      <c r="N63" s="31">
        <v>5.27</v>
      </c>
      <c r="O63" s="9">
        <f>K63/M63</f>
        <v>10251.043643263758</v>
      </c>
      <c r="P63" s="33">
        <f>K63/M63/43560</f>
        <v>0.23533158042386956</v>
      </c>
      <c r="Q63" s="31">
        <v>0</v>
      </c>
      <c r="R63" s="18" t="s">
        <v>1</v>
      </c>
      <c r="S63" t="s">
        <v>197</v>
      </c>
      <c r="U63" t="s">
        <v>159</v>
      </c>
      <c r="V63">
        <v>0</v>
      </c>
      <c r="W63">
        <v>0</v>
      </c>
      <c r="X63" s="20">
        <v>44293</v>
      </c>
      <c r="Z63" s="19" t="s">
        <v>96</v>
      </c>
    </row>
    <row r="64" spans="1:26" ht="15.75" thickBot="1" x14ac:dyDescent="0.3">
      <c r="K64" s="9">
        <f>SUM(K62:K63)</f>
        <v>120630</v>
      </c>
      <c r="M64" s="31">
        <f>SUM(M62:M63)</f>
        <v>10.25</v>
      </c>
      <c r="R64" s="18"/>
      <c r="Z64" s="19"/>
    </row>
    <row r="65" spans="1:26" ht="15.75" thickBot="1" x14ac:dyDescent="0.3">
      <c r="N65" s="31">
        <f>K64/M64</f>
        <v>11768.780487804877</v>
      </c>
      <c r="O65" s="77">
        <f>N65*5</f>
        <v>58843.902439024387</v>
      </c>
      <c r="R65" s="18"/>
      <c r="Z65" s="19"/>
    </row>
    <row r="66" spans="1:26" x14ac:dyDescent="0.25">
      <c r="R66" s="18"/>
      <c r="Z66" s="19"/>
    </row>
    <row r="67" spans="1:26" ht="15.75" thickBot="1" x14ac:dyDescent="0.3">
      <c r="R67" s="18"/>
      <c r="Z67" s="19"/>
    </row>
    <row r="68" spans="1:26" ht="15.75" thickBot="1" x14ac:dyDescent="0.3">
      <c r="M68" s="80" t="s">
        <v>196</v>
      </c>
      <c r="R68" s="18"/>
      <c r="Z68" s="19"/>
    </row>
    <row r="69" spans="1:26" x14ac:dyDescent="0.25">
      <c r="A69" t="s">
        <v>195</v>
      </c>
      <c r="B69" t="s">
        <v>194</v>
      </c>
      <c r="C69" s="25">
        <v>44522</v>
      </c>
      <c r="D69" s="9">
        <v>385000</v>
      </c>
      <c r="E69" t="s">
        <v>106</v>
      </c>
      <c r="F69" t="s">
        <v>84</v>
      </c>
      <c r="G69" s="9">
        <v>385000</v>
      </c>
      <c r="H69" s="9">
        <v>131100</v>
      </c>
      <c r="I69" s="23">
        <f t="shared" ref="I69:I79" si="6">H69/G69*100</f>
        <v>34.051948051948052</v>
      </c>
      <c r="J69" s="9">
        <v>294212</v>
      </c>
      <c r="K69" s="9">
        <f>G69-220879</f>
        <v>164121</v>
      </c>
      <c r="L69" s="9">
        <v>73333</v>
      </c>
      <c r="M69" s="31">
        <v>8</v>
      </c>
      <c r="N69" s="31">
        <v>8</v>
      </c>
      <c r="O69" s="9">
        <f t="shared" ref="O69:O79" si="7">K69/M69</f>
        <v>20515.125</v>
      </c>
      <c r="P69" s="33">
        <f t="shared" ref="P69:P79" si="8">K69/M69/43560</f>
        <v>0.47096246556473831</v>
      </c>
      <c r="Q69" s="31">
        <v>0</v>
      </c>
      <c r="R69" s="18" t="s">
        <v>1</v>
      </c>
      <c r="U69" t="s">
        <v>159</v>
      </c>
      <c r="V69">
        <v>0</v>
      </c>
      <c r="W69">
        <v>0</v>
      </c>
      <c r="X69" t="s">
        <v>89</v>
      </c>
      <c r="Z69" s="19" t="s">
        <v>96</v>
      </c>
    </row>
    <row r="70" spans="1:26" x14ac:dyDescent="0.25">
      <c r="A70" t="s">
        <v>193</v>
      </c>
      <c r="B70" t="s">
        <v>192</v>
      </c>
      <c r="C70" s="25">
        <v>44559</v>
      </c>
      <c r="D70" s="9">
        <v>330000</v>
      </c>
      <c r="E70" t="s">
        <v>83</v>
      </c>
      <c r="F70" t="s">
        <v>84</v>
      </c>
      <c r="G70" s="9">
        <v>330000</v>
      </c>
      <c r="H70" s="9">
        <v>147100</v>
      </c>
      <c r="I70" s="23">
        <f t="shared" si="6"/>
        <v>44.575757575757571</v>
      </c>
      <c r="J70" s="9">
        <v>332517</v>
      </c>
      <c r="K70" s="9">
        <f>G70-250604</f>
        <v>79396</v>
      </c>
      <c r="L70" s="9">
        <v>81913</v>
      </c>
      <c r="M70" s="31">
        <v>9.98</v>
      </c>
      <c r="N70" s="31">
        <v>9.98</v>
      </c>
      <c r="O70" s="9">
        <f t="shared" si="7"/>
        <v>7955.5110220440874</v>
      </c>
      <c r="P70" s="33">
        <f t="shared" si="8"/>
        <v>0.18263340270991937</v>
      </c>
      <c r="Q70" s="31">
        <v>0</v>
      </c>
      <c r="R70" s="18" t="s">
        <v>1</v>
      </c>
      <c r="S70" t="s">
        <v>191</v>
      </c>
      <c r="U70" t="s">
        <v>159</v>
      </c>
      <c r="V70">
        <v>0</v>
      </c>
      <c r="W70">
        <v>0</v>
      </c>
      <c r="X70" s="20">
        <v>43724</v>
      </c>
      <c r="Z70" s="19" t="s">
        <v>96</v>
      </c>
    </row>
    <row r="71" spans="1:26" x14ac:dyDescent="0.25">
      <c r="A71" t="s">
        <v>185</v>
      </c>
      <c r="B71" t="s">
        <v>184</v>
      </c>
      <c r="C71" s="25">
        <v>44129</v>
      </c>
      <c r="D71" s="9">
        <v>125000</v>
      </c>
      <c r="E71" t="s">
        <v>83</v>
      </c>
      <c r="F71" t="s">
        <v>84</v>
      </c>
      <c r="G71" s="9">
        <v>125000</v>
      </c>
      <c r="H71" s="9">
        <v>75650</v>
      </c>
      <c r="I71" s="23">
        <f t="shared" si="6"/>
        <v>60.519999999999996</v>
      </c>
      <c r="J71" s="9">
        <v>187939</v>
      </c>
      <c r="K71" s="9">
        <f>G71-105939</f>
        <v>19061</v>
      </c>
      <c r="L71" s="9">
        <v>82000</v>
      </c>
      <c r="M71" s="31">
        <v>10</v>
      </c>
      <c r="N71" s="31">
        <v>10</v>
      </c>
      <c r="O71" s="9">
        <f t="shared" si="7"/>
        <v>1906.1</v>
      </c>
      <c r="P71" s="33">
        <f t="shared" si="8"/>
        <v>4.3758034894398529E-2</v>
      </c>
      <c r="Q71" s="31">
        <v>0</v>
      </c>
      <c r="R71" s="18" t="s">
        <v>1</v>
      </c>
      <c r="S71" t="s">
        <v>190</v>
      </c>
      <c r="U71" t="s">
        <v>159</v>
      </c>
      <c r="V71">
        <v>0</v>
      </c>
      <c r="W71">
        <v>0</v>
      </c>
      <c r="X71" t="s">
        <v>89</v>
      </c>
      <c r="Z71" s="19" t="s">
        <v>96</v>
      </c>
    </row>
    <row r="72" spans="1:26" x14ac:dyDescent="0.25">
      <c r="A72" t="s">
        <v>189</v>
      </c>
      <c r="B72" t="s">
        <v>188</v>
      </c>
      <c r="C72" s="25">
        <v>44518</v>
      </c>
      <c r="D72" s="9">
        <v>400000</v>
      </c>
      <c r="E72" t="s">
        <v>83</v>
      </c>
      <c r="F72" t="s">
        <v>84</v>
      </c>
      <c r="G72" s="9">
        <v>400000</v>
      </c>
      <c r="H72" s="9">
        <v>151350</v>
      </c>
      <c r="I72" s="23">
        <f t="shared" si="6"/>
        <v>37.837499999999999</v>
      </c>
      <c r="J72" s="9">
        <v>448702</v>
      </c>
      <c r="K72" s="9">
        <f>G72-366702</f>
        <v>33298</v>
      </c>
      <c r="L72" s="9">
        <v>82000</v>
      </c>
      <c r="M72" s="31">
        <v>10</v>
      </c>
      <c r="N72" s="31">
        <v>10</v>
      </c>
      <c r="O72" s="9">
        <f t="shared" si="7"/>
        <v>3329.8</v>
      </c>
      <c r="P72" s="33">
        <f t="shared" si="8"/>
        <v>7.6441689623507808E-2</v>
      </c>
      <c r="Q72" s="31">
        <v>0</v>
      </c>
      <c r="R72" s="18" t="s">
        <v>1</v>
      </c>
      <c r="S72" t="s">
        <v>187</v>
      </c>
      <c r="U72" t="s">
        <v>159</v>
      </c>
      <c r="V72">
        <v>0</v>
      </c>
      <c r="W72">
        <v>0</v>
      </c>
      <c r="X72" s="20">
        <v>44426</v>
      </c>
      <c r="Z72" s="19" t="s">
        <v>96</v>
      </c>
    </row>
    <row r="73" spans="1:26" x14ac:dyDescent="0.25">
      <c r="A73" t="s">
        <v>179</v>
      </c>
      <c r="B73" t="s">
        <v>178</v>
      </c>
      <c r="C73" s="25">
        <v>43975</v>
      </c>
      <c r="D73" s="9">
        <v>113000</v>
      </c>
      <c r="E73" t="s">
        <v>83</v>
      </c>
      <c r="F73" t="s">
        <v>84</v>
      </c>
      <c r="G73" s="9">
        <v>113000</v>
      </c>
      <c r="H73" s="9">
        <v>54200</v>
      </c>
      <c r="I73" s="23">
        <f t="shared" si="6"/>
        <v>47.964601769911503</v>
      </c>
      <c r="J73" s="9">
        <v>156481</v>
      </c>
      <c r="K73" s="9">
        <f>G73-74481</f>
        <v>38519</v>
      </c>
      <c r="L73" s="9">
        <v>82000</v>
      </c>
      <c r="M73" s="31">
        <v>10</v>
      </c>
      <c r="N73" s="31">
        <v>10</v>
      </c>
      <c r="O73" s="9">
        <f t="shared" si="7"/>
        <v>3851.9</v>
      </c>
      <c r="P73" s="33">
        <f t="shared" si="8"/>
        <v>8.8427456382001834E-2</v>
      </c>
      <c r="Q73" s="31">
        <v>0</v>
      </c>
      <c r="R73" s="18" t="s">
        <v>1</v>
      </c>
      <c r="S73" t="s">
        <v>186</v>
      </c>
      <c r="U73" t="s">
        <v>159</v>
      </c>
      <c r="V73">
        <v>0</v>
      </c>
      <c r="W73">
        <v>0</v>
      </c>
      <c r="X73" t="s">
        <v>89</v>
      </c>
      <c r="Z73" s="19" t="s">
        <v>96</v>
      </c>
    </row>
    <row r="74" spans="1:26" x14ac:dyDescent="0.25">
      <c r="A74" t="s">
        <v>185</v>
      </c>
      <c r="B74" t="s">
        <v>184</v>
      </c>
      <c r="C74" s="25">
        <v>44237</v>
      </c>
      <c r="D74" s="9">
        <v>150500</v>
      </c>
      <c r="E74" t="s">
        <v>106</v>
      </c>
      <c r="F74" t="s">
        <v>84</v>
      </c>
      <c r="G74" s="9">
        <v>150500</v>
      </c>
      <c r="H74" s="9">
        <v>84700</v>
      </c>
      <c r="I74" s="23">
        <f t="shared" si="6"/>
        <v>56.279069767441861</v>
      </c>
      <c r="J74" s="9">
        <v>187939</v>
      </c>
      <c r="K74" s="9">
        <f>G74-105939</f>
        <v>44561</v>
      </c>
      <c r="L74" s="9">
        <v>82000</v>
      </c>
      <c r="M74" s="31">
        <v>10</v>
      </c>
      <c r="N74" s="31">
        <v>10</v>
      </c>
      <c r="O74" s="9">
        <f t="shared" si="7"/>
        <v>4456.1000000000004</v>
      </c>
      <c r="P74" s="33">
        <f t="shared" si="8"/>
        <v>0.1022979797979798</v>
      </c>
      <c r="Q74" s="31">
        <v>0</v>
      </c>
      <c r="R74" s="18" t="s">
        <v>1</v>
      </c>
      <c r="U74" t="s">
        <v>159</v>
      </c>
      <c r="V74">
        <v>0</v>
      </c>
      <c r="W74">
        <v>0</v>
      </c>
      <c r="X74" t="s">
        <v>89</v>
      </c>
      <c r="Z74" s="19" t="s">
        <v>96</v>
      </c>
    </row>
    <row r="75" spans="1:26" x14ac:dyDescent="0.25">
      <c r="A75" t="s">
        <v>185</v>
      </c>
      <c r="B75" t="s">
        <v>184</v>
      </c>
      <c r="C75" s="25">
        <v>44393</v>
      </c>
      <c r="D75" s="9">
        <v>160000</v>
      </c>
      <c r="E75" t="s">
        <v>106</v>
      </c>
      <c r="F75" t="s">
        <v>84</v>
      </c>
      <c r="G75" s="9">
        <v>160000</v>
      </c>
      <c r="H75" s="9">
        <v>85900</v>
      </c>
      <c r="I75" s="23">
        <f t="shared" si="6"/>
        <v>53.6875</v>
      </c>
      <c r="J75" s="9">
        <v>187939</v>
      </c>
      <c r="K75" s="9">
        <f>G75-105939</f>
        <v>54061</v>
      </c>
      <c r="L75" s="9">
        <v>82000</v>
      </c>
      <c r="M75" s="31">
        <v>10</v>
      </c>
      <c r="N75" s="31">
        <v>10</v>
      </c>
      <c r="O75" s="9">
        <f t="shared" si="7"/>
        <v>5406.1</v>
      </c>
      <c r="P75" s="33">
        <f t="shared" si="8"/>
        <v>0.12410697887970616</v>
      </c>
      <c r="Q75" s="31">
        <v>0</v>
      </c>
      <c r="R75" s="18" t="s">
        <v>1</v>
      </c>
      <c r="S75" t="s">
        <v>183</v>
      </c>
      <c r="U75" t="s">
        <v>159</v>
      </c>
      <c r="V75">
        <v>0</v>
      </c>
      <c r="W75">
        <v>0</v>
      </c>
      <c r="X75" t="s">
        <v>89</v>
      </c>
      <c r="Z75" s="19" t="s">
        <v>96</v>
      </c>
    </row>
    <row r="76" spans="1:26" x14ac:dyDescent="0.25">
      <c r="A76" t="s">
        <v>182</v>
      </c>
      <c r="B76" t="s">
        <v>181</v>
      </c>
      <c r="C76" s="25">
        <v>44181</v>
      </c>
      <c r="D76" s="9">
        <v>150000</v>
      </c>
      <c r="E76" t="s">
        <v>83</v>
      </c>
      <c r="F76" t="s">
        <v>84</v>
      </c>
      <c r="G76" s="9">
        <v>150000</v>
      </c>
      <c r="H76" s="9">
        <v>46000</v>
      </c>
      <c r="I76" s="23">
        <f t="shared" si="6"/>
        <v>30.666666666666664</v>
      </c>
      <c r="J76" s="9">
        <v>166693</v>
      </c>
      <c r="K76" s="9">
        <f>G76-84693</f>
        <v>65307</v>
      </c>
      <c r="L76" s="9">
        <v>82000</v>
      </c>
      <c r="M76" s="31">
        <v>10</v>
      </c>
      <c r="N76" s="31">
        <v>10</v>
      </c>
      <c r="O76" s="9">
        <f t="shared" si="7"/>
        <v>6530.7</v>
      </c>
      <c r="P76" s="33">
        <f t="shared" si="8"/>
        <v>0.14992424242424243</v>
      </c>
      <c r="Q76" s="31">
        <v>0</v>
      </c>
      <c r="R76" s="18" t="s">
        <v>1</v>
      </c>
      <c r="S76" t="s">
        <v>180</v>
      </c>
      <c r="U76" t="s">
        <v>159</v>
      </c>
      <c r="V76">
        <v>0</v>
      </c>
      <c r="W76">
        <v>0</v>
      </c>
      <c r="X76" t="s">
        <v>89</v>
      </c>
      <c r="Z76" s="19" t="s">
        <v>96</v>
      </c>
    </row>
    <row r="77" spans="1:26" x14ac:dyDescent="0.25">
      <c r="A77" t="s">
        <v>179</v>
      </c>
      <c r="B77" t="s">
        <v>178</v>
      </c>
      <c r="C77" s="25">
        <v>43975</v>
      </c>
      <c r="D77" s="9">
        <v>180000</v>
      </c>
      <c r="E77" t="s">
        <v>83</v>
      </c>
      <c r="F77" t="s">
        <v>84</v>
      </c>
      <c r="G77" s="9">
        <v>180000</v>
      </c>
      <c r="H77" s="9">
        <v>54200</v>
      </c>
      <c r="I77" s="23">
        <f t="shared" si="6"/>
        <v>30.111111111111111</v>
      </c>
      <c r="J77" s="9">
        <v>156481</v>
      </c>
      <c r="K77" s="9">
        <f>G77-74481</f>
        <v>105519</v>
      </c>
      <c r="L77" s="9">
        <v>82000</v>
      </c>
      <c r="M77" s="31">
        <v>10</v>
      </c>
      <c r="N77" s="31">
        <v>10</v>
      </c>
      <c r="O77" s="9">
        <f t="shared" si="7"/>
        <v>10551.9</v>
      </c>
      <c r="P77" s="33">
        <f t="shared" si="8"/>
        <v>0.24223829201101926</v>
      </c>
      <c r="Q77" s="31">
        <v>0</v>
      </c>
      <c r="R77" s="18" t="s">
        <v>1</v>
      </c>
      <c r="S77" t="s">
        <v>177</v>
      </c>
      <c r="U77" t="s">
        <v>159</v>
      </c>
      <c r="V77">
        <v>0</v>
      </c>
      <c r="W77">
        <v>0</v>
      </c>
      <c r="X77" t="s">
        <v>89</v>
      </c>
      <c r="Z77" s="19" t="s">
        <v>96</v>
      </c>
    </row>
    <row r="78" spans="1:26" x14ac:dyDescent="0.25">
      <c r="A78" t="s">
        <v>176</v>
      </c>
      <c r="B78" t="s">
        <v>175</v>
      </c>
      <c r="C78" s="25">
        <v>43829</v>
      </c>
      <c r="D78" s="9">
        <v>240000</v>
      </c>
      <c r="E78" t="s">
        <v>83</v>
      </c>
      <c r="F78" t="s">
        <v>84</v>
      </c>
      <c r="G78" s="9">
        <v>240000</v>
      </c>
      <c r="H78" s="9">
        <v>118450</v>
      </c>
      <c r="I78" s="23">
        <f t="shared" si="6"/>
        <v>49.354166666666664</v>
      </c>
      <c r="J78" s="9">
        <v>291142</v>
      </c>
      <c r="K78" s="9">
        <f>G78-208418</f>
        <v>31582</v>
      </c>
      <c r="L78" s="9">
        <v>82724</v>
      </c>
      <c r="M78" s="31">
        <v>10.212999999999999</v>
      </c>
      <c r="N78" s="31">
        <v>10.212999999999999</v>
      </c>
      <c r="O78" s="9">
        <f t="shared" si="7"/>
        <v>3092.3333006951925</v>
      </c>
      <c r="P78" s="33">
        <f t="shared" si="8"/>
        <v>7.0990204331845552E-2</v>
      </c>
      <c r="Q78" s="31">
        <v>335</v>
      </c>
      <c r="R78" s="18" t="s">
        <v>1</v>
      </c>
      <c r="S78" t="s">
        <v>174</v>
      </c>
      <c r="U78" t="s">
        <v>159</v>
      </c>
      <c r="V78">
        <v>0</v>
      </c>
      <c r="W78">
        <v>0</v>
      </c>
      <c r="X78" s="20">
        <v>44426</v>
      </c>
      <c r="Z78" s="19" t="s">
        <v>96</v>
      </c>
    </row>
    <row r="79" spans="1:26" x14ac:dyDescent="0.25">
      <c r="A79" t="s">
        <v>173</v>
      </c>
      <c r="B79" t="s">
        <v>172</v>
      </c>
      <c r="C79" s="25">
        <v>44819</v>
      </c>
      <c r="D79" s="9">
        <v>1050000</v>
      </c>
      <c r="E79" t="s">
        <v>83</v>
      </c>
      <c r="F79" t="s">
        <v>84</v>
      </c>
      <c r="G79" s="9">
        <v>1050000</v>
      </c>
      <c r="H79" s="9">
        <v>214400</v>
      </c>
      <c r="I79" s="23">
        <f t="shared" si="6"/>
        <v>20.419047619047621</v>
      </c>
      <c r="J79" s="9">
        <v>802116</v>
      </c>
      <c r="K79" s="79">
        <f>G79-702716</f>
        <v>347284</v>
      </c>
      <c r="L79" s="9">
        <v>99400</v>
      </c>
      <c r="M79" s="78">
        <v>12</v>
      </c>
      <c r="N79" s="31">
        <v>12.03</v>
      </c>
      <c r="O79" s="9">
        <f t="shared" si="7"/>
        <v>28940.333333333332</v>
      </c>
      <c r="P79" s="33">
        <f t="shared" si="8"/>
        <v>0.66437863483318027</v>
      </c>
      <c r="Q79" s="31">
        <v>0</v>
      </c>
      <c r="R79" s="18" t="s">
        <v>1</v>
      </c>
      <c r="S79" t="s">
        <v>171</v>
      </c>
      <c r="U79" t="s">
        <v>159</v>
      </c>
      <c r="V79">
        <v>0</v>
      </c>
      <c r="W79">
        <v>0</v>
      </c>
      <c r="X79" t="s">
        <v>89</v>
      </c>
      <c r="Z79" s="19" t="s">
        <v>96</v>
      </c>
    </row>
    <row r="80" spans="1:26" ht="15.75" thickBot="1" x14ac:dyDescent="0.3">
      <c r="K80" s="9">
        <f>SUM(K69:K79)</f>
        <v>982709</v>
      </c>
      <c r="M80" s="31">
        <f>SUM(M69:M79)</f>
        <v>110.193</v>
      </c>
      <c r="R80" s="18"/>
      <c r="Z80" s="19"/>
    </row>
    <row r="81" spans="1:26" ht="15.75" thickBot="1" x14ac:dyDescent="0.3">
      <c r="N81" s="31">
        <f>K80/M80</f>
        <v>8918.0710208452438</v>
      </c>
      <c r="O81" s="77">
        <f>N81*10</f>
        <v>89180.710208452438</v>
      </c>
      <c r="R81" s="18"/>
      <c r="Z81" s="19"/>
    </row>
    <row r="82" spans="1:26" ht="15.75" thickBot="1" x14ac:dyDescent="0.3">
      <c r="R82" s="18"/>
      <c r="Z82" s="19"/>
    </row>
    <row r="83" spans="1:26" ht="15.75" thickBot="1" x14ac:dyDescent="0.3">
      <c r="M83" s="80" t="s">
        <v>170</v>
      </c>
      <c r="R83" s="18"/>
      <c r="Z83" s="19"/>
    </row>
    <row r="84" spans="1:26" x14ac:dyDescent="0.25">
      <c r="A84" t="s">
        <v>169</v>
      </c>
      <c r="B84" t="s">
        <v>168</v>
      </c>
      <c r="C84" s="25">
        <v>44470</v>
      </c>
      <c r="D84" s="9">
        <v>292400</v>
      </c>
      <c r="E84" t="s">
        <v>106</v>
      </c>
      <c r="F84" t="s">
        <v>84</v>
      </c>
      <c r="G84" s="9">
        <v>292400</v>
      </c>
      <c r="H84" s="9">
        <v>158700</v>
      </c>
      <c r="I84" s="23">
        <f>H84/G84*100</f>
        <v>54.274965800273598</v>
      </c>
      <c r="J84" s="9">
        <v>350552</v>
      </c>
      <c r="K84" s="9">
        <f>G84-243992</f>
        <v>48408</v>
      </c>
      <c r="L84" s="9">
        <v>106560</v>
      </c>
      <c r="M84" s="31">
        <v>17.7</v>
      </c>
      <c r="N84" s="31">
        <v>17.7</v>
      </c>
      <c r="O84" s="9">
        <f>K84/M84</f>
        <v>2734.9152542372881</v>
      </c>
      <c r="P84" s="33">
        <f>K84/M84/43560</f>
        <v>6.2785015019221485E-2</v>
      </c>
      <c r="Q84" s="31">
        <v>0</v>
      </c>
      <c r="R84" s="18" t="s">
        <v>1</v>
      </c>
      <c r="S84" t="s">
        <v>167</v>
      </c>
      <c r="U84" t="s">
        <v>159</v>
      </c>
      <c r="V84">
        <v>0</v>
      </c>
      <c r="W84">
        <v>0</v>
      </c>
      <c r="X84" t="s">
        <v>89</v>
      </c>
      <c r="Z84" s="19" t="s">
        <v>96</v>
      </c>
    </row>
    <row r="85" spans="1:26" x14ac:dyDescent="0.25">
      <c r="A85" t="s">
        <v>166</v>
      </c>
      <c r="B85" t="s">
        <v>98</v>
      </c>
      <c r="C85" s="25">
        <v>44334</v>
      </c>
      <c r="D85" s="9">
        <v>285000</v>
      </c>
      <c r="E85" t="s">
        <v>106</v>
      </c>
      <c r="F85" t="s">
        <v>84</v>
      </c>
      <c r="G85" s="9">
        <v>285000</v>
      </c>
      <c r="H85" s="9">
        <v>98700</v>
      </c>
      <c r="I85" s="23">
        <f>H85/G85*100</f>
        <v>34.631578947368418</v>
      </c>
      <c r="J85" s="9">
        <v>221993</v>
      </c>
      <c r="K85" s="79">
        <f>G85-100382</f>
        <v>184618</v>
      </c>
      <c r="L85" s="9">
        <v>121611</v>
      </c>
      <c r="M85" s="78">
        <v>23.588000000000001</v>
      </c>
      <c r="N85" s="31">
        <v>23.588000000000001</v>
      </c>
      <c r="O85" s="9">
        <f>K85/M85</f>
        <v>7826.7763269459047</v>
      </c>
      <c r="P85" s="33">
        <f>K85/M85/43560</f>
        <v>0.17967806076551662</v>
      </c>
      <c r="Q85" s="31">
        <v>0</v>
      </c>
      <c r="R85" s="18" t="s">
        <v>165</v>
      </c>
      <c r="S85" t="s">
        <v>164</v>
      </c>
      <c r="U85" t="s">
        <v>159</v>
      </c>
      <c r="V85">
        <v>0</v>
      </c>
      <c r="W85">
        <v>0</v>
      </c>
      <c r="X85" t="s">
        <v>89</v>
      </c>
      <c r="Z85" s="19" t="s">
        <v>163</v>
      </c>
    </row>
    <row r="86" spans="1:26" ht="15.75" thickBot="1" x14ac:dyDescent="0.3">
      <c r="K86" s="9">
        <f>SUM(K84:K85)</f>
        <v>233026</v>
      </c>
      <c r="M86" s="31">
        <f>SUM(M84:M85)</f>
        <v>41.287999999999997</v>
      </c>
      <c r="R86" s="18"/>
      <c r="Z86" s="19"/>
    </row>
    <row r="87" spans="1:26" ht="15.75" thickBot="1" x14ac:dyDescent="0.3">
      <c r="N87" s="31">
        <f>K86/M86</f>
        <v>5643.9159077698123</v>
      </c>
      <c r="O87" s="77">
        <f>N87*20</f>
        <v>112878.31815539625</v>
      </c>
      <c r="R87" s="18"/>
      <c r="Z87" s="19"/>
    </row>
    <row r="88" spans="1:26" x14ac:dyDescent="0.25">
      <c r="R88" s="18"/>
      <c r="Z88" s="19"/>
    </row>
    <row r="89" spans="1:26" ht="15.75" thickBot="1" x14ac:dyDescent="0.3">
      <c r="R89" s="18"/>
      <c r="Z89" s="19"/>
    </row>
    <row r="90" spans="1:26" ht="15.75" thickBot="1" x14ac:dyDescent="0.3">
      <c r="M90" s="80" t="s">
        <v>162</v>
      </c>
    </row>
    <row r="91" spans="1:26" x14ac:dyDescent="0.25">
      <c r="A91" t="s">
        <v>161</v>
      </c>
      <c r="B91" t="s">
        <v>160</v>
      </c>
      <c r="C91" s="25">
        <v>43728</v>
      </c>
      <c r="D91" s="9">
        <v>360000</v>
      </c>
      <c r="E91" t="s">
        <v>83</v>
      </c>
      <c r="F91" t="s">
        <v>84</v>
      </c>
      <c r="G91" s="9">
        <v>360000</v>
      </c>
      <c r="H91" s="9">
        <v>60000</v>
      </c>
      <c r="I91" s="23">
        <f>H91/G91*100</f>
        <v>16.666666666666664</v>
      </c>
      <c r="J91" s="9">
        <v>198849</v>
      </c>
      <c r="K91" s="79">
        <f>G91-0</f>
        <v>360000</v>
      </c>
      <c r="L91" s="9">
        <v>155500</v>
      </c>
      <c r="M91" s="78">
        <v>40</v>
      </c>
      <c r="N91" s="31">
        <v>40</v>
      </c>
      <c r="O91" s="9">
        <f>K91/M91</f>
        <v>9000</v>
      </c>
      <c r="P91" s="33">
        <f>K91/M91/43560</f>
        <v>0.20661157024793389</v>
      </c>
      <c r="Q91" s="31">
        <v>0</v>
      </c>
      <c r="R91" s="18" t="s">
        <v>1</v>
      </c>
      <c r="U91" t="s">
        <v>159</v>
      </c>
      <c r="V91">
        <v>0</v>
      </c>
      <c r="W91">
        <v>0</v>
      </c>
      <c r="X91" t="s">
        <v>89</v>
      </c>
      <c r="Z91" s="19" t="s">
        <v>90</v>
      </c>
    </row>
    <row r="92" spans="1:26" ht="15.75" thickBot="1" x14ac:dyDescent="0.3">
      <c r="K92" s="9">
        <f>SUM(K91)</f>
        <v>360000</v>
      </c>
      <c r="M92" s="31">
        <f>SUM(M91)</f>
        <v>40</v>
      </c>
    </row>
    <row r="93" spans="1:26" ht="15.75" thickBot="1" x14ac:dyDescent="0.3">
      <c r="N93" s="31">
        <f>K92/M92</f>
        <v>9000</v>
      </c>
      <c r="O93" s="77">
        <f>N93*40</f>
        <v>360000</v>
      </c>
    </row>
  </sheetData>
  <conditionalFormatting sqref="A2:AC6 A9:AC89 A91:AC91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6DC47-29E1-4E12-B470-65F8DBDBBD84}">
  <dimension ref="A1:AW115"/>
  <sheetViews>
    <sheetView topLeftCell="A30" workbookViewId="0">
      <selection activeCell="H118" sqref="H118"/>
    </sheetView>
  </sheetViews>
  <sheetFormatPr defaultRowHeight="15" x14ac:dyDescent="0.25"/>
  <cols>
    <col min="1" max="1" width="14.28515625" bestFit="1" customWidth="1"/>
    <col min="2" max="2" width="23.42578125" bestFit="1" customWidth="1"/>
    <col min="3" max="3" width="9.28515625" bestFit="1" customWidth="1"/>
    <col min="4" max="4" width="9.5703125" bestFit="1" customWidth="1"/>
    <col min="5" max="5" width="5.5703125" bestFit="1" customWidth="1"/>
    <col min="6" max="6" width="16.7109375" bestFit="1" customWidth="1"/>
    <col min="7" max="7" width="10.14062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3.28515625" bestFit="1" customWidth="1"/>
    <col min="12" max="12" width="14.42578125" bestFit="1" customWidth="1"/>
    <col min="13" max="13" width="9.5703125" bestFit="1" customWidth="1"/>
    <col min="14" max="14" width="10.7109375" bestFit="1" customWidth="1"/>
    <col min="15" max="15" width="12" bestFit="1" customWidth="1"/>
    <col min="16" max="16" width="10.5703125" bestFit="1" customWidth="1"/>
    <col min="17" max="17" width="18.85546875" bestFit="1" customWidth="1"/>
  </cols>
  <sheetData>
    <row r="1" spans="1:49" x14ac:dyDescent="0.25">
      <c r="A1" s="16" t="s">
        <v>52</v>
      </c>
      <c r="B1" s="16" t="s">
        <v>53</v>
      </c>
      <c r="C1" s="24" t="s">
        <v>54</v>
      </c>
      <c r="D1" s="21" t="s">
        <v>55</v>
      </c>
      <c r="E1" s="16" t="s">
        <v>56</v>
      </c>
      <c r="F1" s="16" t="s">
        <v>57</v>
      </c>
      <c r="G1" s="21" t="s">
        <v>58</v>
      </c>
      <c r="H1" s="21" t="s">
        <v>59</v>
      </c>
      <c r="I1" s="22" t="s">
        <v>60</v>
      </c>
      <c r="J1" s="21" t="s">
        <v>61</v>
      </c>
      <c r="K1" s="21" t="s">
        <v>62</v>
      </c>
      <c r="L1" s="21" t="s">
        <v>63</v>
      </c>
      <c r="M1" s="30" t="s">
        <v>66</v>
      </c>
      <c r="N1" s="30" t="s">
        <v>67</v>
      </c>
      <c r="O1" s="21" t="s">
        <v>69</v>
      </c>
      <c r="P1" s="16" t="s">
        <v>73</v>
      </c>
      <c r="Q1" s="16" t="s">
        <v>75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x14ac:dyDescent="0.25">
      <c r="A2" t="s">
        <v>309</v>
      </c>
      <c r="B2" t="s">
        <v>310</v>
      </c>
      <c r="C2" s="25">
        <v>44805</v>
      </c>
      <c r="D2" s="9">
        <v>530000</v>
      </c>
      <c r="E2" t="s">
        <v>83</v>
      </c>
      <c r="F2" t="s">
        <v>84</v>
      </c>
      <c r="G2" s="9">
        <v>530000</v>
      </c>
      <c r="H2" s="9">
        <v>1500</v>
      </c>
      <c r="I2" s="23">
        <v>0.28301886792452829</v>
      </c>
      <c r="J2" s="9">
        <v>3000</v>
      </c>
      <c r="K2" s="9">
        <v>530000</v>
      </c>
      <c r="L2" s="9">
        <v>3000</v>
      </c>
      <c r="M2" s="31">
        <v>0.12</v>
      </c>
      <c r="N2" s="31">
        <v>0.12</v>
      </c>
      <c r="O2" s="9">
        <v>4416666.666666667</v>
      </c>
      <c r="P2" t="s">
        <v>311</v>
      </c>
      <c r="Q2" t="s">
        <v>312</v>
      </c>
    </row>
    <row r="3" spans="1:49" x14ac:dyDescent="0.25">
      <c r="A3" t="s">
        <v>313</v>
      </c>
      <c r="B3" t="s">
        <v>314</v>
      </c>
      <c r="C3" s="25">
        <v>44875</v>
      </c>
      <c r="D3" s="9">
        <v>11580</v>
      </c>
      <c r="E3" t="s">
        <v>83</v>
      </c>
      <c r="F3" t="s">
        <v>84</v>
      </c>
      <c r="G3" s="9">
        <v>11580</v>
      </c>
      <c r="H3" s="9">
        <v>7900</v>
      </c>
      <c r="I3" s="23">
        <v>68.221070811744383</v>
      </c>
      <c r="J3" s="9">
        <v>15750</v>
      </c>
      <c r="K3" s="9">
        <v>11580</v>
      </c>
      <c r="L3" s="9">
        <v>15750</v>
      </c>
      <c r="M3" s="31">
        <v>0.63</v>
      </c>
      <c r="N3" s="31">
        <v>0.63</v>
      </c>
      <c r="O3" s="9">
        <v>18380.952380952382</v>
      </c>
      <c r="P3" t="s">
        <v>315</v>
      </c>
      <c r="Q3" t="s">
        <v>312</v>
      </c>
    </row>
    <row r="4" spans="1:49" x14ac:dyDescent="0.25">
      <c r="A4" t="s">
        <v>313</v>
      </c>
      <c r="B4" t="s">
        <v>314</v>
      </c>
      <c r="C4" s="25">
        <v>43868</v>
      </c>
      <c r="D4" s="9">
        <v>100</v>
      </c>
      <c r="E4" t="s">
        <v>83</v>
      </c>
      <c r="F4" t="s">
        <v>84</v>
      </c>
      <c r="G4" s="9">
        <v>100</v>
      </c>
      <c r="H4" s="9">
        <v>5350</v>
      </c>
      <c r="I4" s="23">
        <v>5350</v>
      </c>
      <c r="J4" s="9">
        <v>15750</v>
      </c>
      <c r="K4" s="9">
        <v>100</v>
      </c>
      <c r="L4" s="9">
        <v>15750</v>
      </c>
      <c r="M4" s="31">
        <v>0.63</v>
      </c>
      <c r="N4" s="31">
        <v>0.63</v>
      </c>
      <c r="O4" s="9">
        <v>158.73015873015873</v>
      </c>
      <c r="P4" t="s">
        <v>316</v>
      </c>
      <c r="Q4" t="s">
        <v>312</v>
      </c>
    </row>
    <row r="5" spans="1:49" x14ac:dyDescent="0.25">
      <c r="A5" t="s">
        <v>317</v>
      </c>
      <c r="B5" t="s">
        <v>318</v>
      </c>
      <c r="C5" s="25">
        <v>44137</v>
      </c>
      <c r="D5" s="9">
        <v>13000</v>
      </c>
      <c r="E5" t="s">
        <v>83</v>
      </c>
      <c r="F5" t="s">
        <v>84</v>
      </c>
      <c r="G5" s="9">
        <v>13000</v>
      </c>
      <c r="H5" s="9">
        <v>5750</v>
      </c>
      <c r="I5" s="23">
        <v>44.230769230769226</v>
      </c>
      <c r="J5" s="9">
        <v>16000</v>
      </c>
      <c r="K5" s="9">
        <v>13000</v>
      </c>
      <c r="L5" s="9">
        <v>16000</v>
      </c>
      <c r="M5" s="31">
        <v>0.64</v>
      </c>
      <c r="N5" s="31">
        <v>0.64</v>
      </c>
      <c r="O5" s="9">
        <v>20312.5</v>
      </c>
      <c r="P5" t="s">
        <v>319</v>
      </c>
      <c r="Q5" t="s">
        <v>312</v>
      </c>
    </row>
    <row r="6" spans="1:49" x14ac:dyDescent="0.25">
      <c r="A6" t="s">
        <v>320</v>
      </c>
      <c r="B6" t="s">
        <v>321</v>
      </c>
      <c r="C6" s="25">
        <v>44050</v>
      </c>
      <c r="D6" s="9">
        <v>252000</v>
      </c>
      <c r="E6" t="s">
        <v>83</v>
      </c>
      <c r="F6" t="s">
        <v>84</v>
      </c>
      <c r="G6" s="9">
        <v>252000</v>
      </c>
      <c r="H6" s="9">
        <v>103000</v>
      </c>
      <c r="I6" s="23">
        <v>40.873015873015873</v>
      </c>
      <c r="J6" s="9">
        <v>211039</v>
      </c>
      <c r="K6" s="9">
        <v>58461</v>
      </c>
      <c r="L6" s="9">
        <v>17500</v>
      </c>
      <c r="M6" s="31">
        <v>0.7</v>
      </c>
      <c r="N6" s="31">
        <v>0.7</v>
      </c>
      <c r="O6" s="9">
        <v>83515.71428571429</v>
      </c>
      <c r="P6" t="s">
        <v>322</v>
      </c>
      <c r="Q6" t="s">
        <v>312</v>
      </c>
    </row>
    <row r="7" spans="1:49" x14ac:dyDescent="0.25">
      <c r="A7" t="s">
        <v>323</v>
      </c>
      <c r="B7" t="s">
        <v>324</v>
      </c>
      <c r="C7" s="25">
        <v>44420</v>
      </c>
      <c r="D7" s="9">
        <v>100000</v>
      </c>
      <c r="E7" t="s">
        <v>106</v>
      </c>
      <c r="F7" t="s">
        <v>84</v>
      </c>
      <c r="G7" s="9">
        <v>100000</v>
      </c>
      <c r="H7" s="9">
        <v>40800</v>
      </c>
      <c r="I7" s="23">
        <v>40.799999999999997</v>
      </c>
      <c r="J7" s="9">
        <v>93963</v>
      </c>
      <c r="K7" s="9">
        <v>24037</v>
      </c>
      <c r="L7" s="9">
        <v>18000</v>
      </c>
      <c r="M7" s="31">
        <v>0.72</v>
      </c>
      <c r="N7" s="31">
        <v>0.72</v>
      </c>
      <c r="O7" s="9">
        <v>33384.722222222226</v>
      </c>
      <c r="P7" t="s">
        <v>325</v>
      </c>
      <c r="Q7" t="s">
        <v>312</v>
      </c>
    </row>
    <row r="8" spans="1:49" x14ac:dyDescent="0.25">
      <c r="A8" t="s">
        <v>326</v>
      </c>
      <c r="B8" t="s">
        <v>327</v>
      </c>
      <c r="C8" s="25">
        <v>44622</v>
      </c>
      <c r="D8" s="9">
        <v>275000</v>
      </c>
      <c r="E8" t="s">
        <v>83</v>
      </c>
      <c r="F8" t="s">
        <v>84</v>
      </c>
      <c r="G8" s="9">
        <v>275000</v>
      </c>
      <c r="H8" s="9">
        <v>0</v>
      </c>
      <c r="I8" s="23">
        <v>0</v>
      </c>
      <c r="J8" s="9">
        <v>71474</v>
      </c>
      <c r="K8" s="9">
        <v>225526</v>
      </c>
      <c r="L8" s="9">
        <v>22000</v>
      </c>
      <c r="M8" s="31">
        <v>0.88</v>
      </c>
      <c r="N8" s="31">
        <v>0.88</v>
      </c>
      <c r="O8" s="9">
        <v>256279.54545454544</v>
      </c>
      <c r="P8" t="s">
        <v>328</v>
      </c>
      <c r="Q8" t="s">
        <v>312</v>
      </c>
    </row>
    <row r="9" spans="1:49" x14ac:dyDescent="0.25">
      <c r="A9" t="s">
        <v>329</v>
      </c>
      <c r="B9" t="s">
        <v>330</v>
      </c>
      <c r="C9" s="25">
        <v>43902</v>
      </c>
      <c r="D9" s="9">
        <v>199000</v>
      </c>
      <c r="E9" t="s">
        <v>83</v>
      </c>
      <c r="F9" t="s">
        <v>84</v>
      </c>
      <c r="G9" s="9">
        <v>199000</v>
      </c>
      <c r="H9" s="9">
        <v>68950</v>
      </c>
      <c r="I9" s="23">
        <v>34.64824120603015</v>
      </c>
      <c r="J9" s="9">
        <v>192335</v>
      </c>
      <c r="K9" s="79">
        <v>29915</v>
      </c>
      <c r="L9" s="9">
        <v>23250</v>
      </c>
      <c r="M9" s="78">
        <v>0.93</v>
      </c>
      <c r="N9" s="31">
        <v>0.93</v>
      </c>
      <c r="O9" s="9">
        <v>32166.666666666664</v>
      </c>
      <c r="P9" t="s">
        <v>331</v>
      </c>
      <c r="Q9" t="s">
        <v>312</v>
      </c>
    </row>
    <row r="10" spans="1:49" x14ac:dyDescent="0.25">
      <c r="K10" s="9">
        <v>892619</v>
      </c>
      <c r="M10" s="31">
        <v>5.2499999999999991</v>
      </c>
    </row>
    <row r="11" spans="1:49" x14ac:dyDescent="0.25">
      <c r="N11" s="81">
        <v>3.9031833486378944</v>
      </c>
    </row>
    <row r="13" spans="1:49" ht="15.75" thickBot="1" x14ac:dyDescent="0.3"/>
    <row r="14" spans="1:49" ht="15.75" thickBot="1" x14ac:dyDescent="0.3">
      <c r="K14" s="135" t="s">
        <v>288</v>
      </c>
      <c r="L14" s="136"/>
      <c r="M14" s="137"/>
    </row>
    <row r="15" spans="1:49" x14ac:dyDescent="0.25">
      <c r="A15" t="s">
        <v>332</v>
      </c>
      <c r="B15" t="s">
        <v>333</v>
      </c>
      <c r="C15" s="25">
        <v>44669</v>
      </c>
      <c r="D15" s="9">
        <v>50000</v>
      </c>
      <c r="E15" t="s">
        <v>106</v>
      </c>
      <c r="F15" t="s">
        <v>84</v>
      </c>
      <c r="G15" s="9">
        <v>50000</v>
      </c>
      <c r="H15" s="9">
        <v>12400</v>
      </c>
      <c r="I15" s="23">
        <v>24.8</v>
      </c>
      <c r="J15" s="9">
        <v>24750</v>
      </c>
      <c r="K15" s="9">
        <v>50000</v>
      </c>
      <c r="L15" s="9">
        <v>24750</v>
      </c>
      <c r="M15" s="31">
        <v>0.99</v>
      </c>
      <c r="N15" s="31">
        <v>0.99</v>
      </c>
      <c r="O15" s="9">
        <v>50505.050505050509</v>
      </c>
      <c r="P15" t="s">
        <v>334</v>
      </c>
      <c r="Q15" t="s">
        <v>312</v>
      </c>
    </row>
    <row r="16" spans="1:49" x14ac:dyDescent="0.25">
      <c r="A16" t="s">
        <v>335</v>
      </c>
      <c r="B16" t="s">
        <v>336</v>
      </c>
      <c r="C16" s="25">
        <v>44683</v>
      </c>
      <c r="D16" s="9">
        <v>160000</v>
      </c>
      <c r="E16" t="s">
        <v>83</v>
      </c>
      <c r="F16" t="s">
        <v>84</v>
      </c>
      <c r="G16" s="9">
        <v>160000</v>
      </c>
      <c r="H16" s="9">
        <v>75500</v>
      </c>
      <c r="I16" s="23">
        <v>47.1875</v>
      </c>
      <c r="J16" s="9">
        <v>159104</v>
      </c>
      <c r="K16" s="9">
        <v>25646</v>
      </c>
      <c r="L16" s="9">
        <v>24750</v>
      </c>
      <c r="M16" s="31">
        <v>0.99</v>
      </c>
      <c r="N16" s="31">
        <v>0.99</v>
      </c>
      <c r="O16" s="9">
        <v>25905.050505050505</v>
      </c>
      <c r="P16" t="s">
        <v>337</v>
      </c>
      <c r="Q16" t="s">
        <v>312</v>
      </c>
    </row>
    <row r="17" spans="1:17" x14ac:dyDescent="0.25">
      <c r="A17" t="s">
        <v>338</v>
      </c>
      <c r="B17" t="s">
        <v>339</v>
      </c>
      <c r="C17" s="25">
        <v>44407</v>
      </c>
      <c r="D17" s="9">
        <v>280000</v>
      </c>
      <c r="E17" t="s">
        <v>106</v>
      </c>
      <c r="F17" t="s">
        <v>84</v>
      </c>
      <c r="G17" s="9">
        <v>280000</v>
      </c>
      <c r="H17" s="9">
        <v>125000</v>
      </c>
      <c r="I17" s="23">
        <v>44.642857142857146</v>
      </c>
      <c r="J17" s="9">
        <v>291070</v>
      </c>
      <c r="K17" s="79">
        <v>15862</v>
      </c>
      <c r="L17" s="9">
        <v>26932</v>
      </c>
      <c r="M17" s="78">
        <v>1.21</v>
      </c>
      <c r="N17" s="31">
        <v>1.21</v>
      </c>
      <c r="O17" s="9">
        <v>13109.09090909091</v>
      </c>
      <c r="P17" t="s">
        <v>340</v>
      </c>
      <c r="Q17" t="s">
        <v>312</v>
      </c>
    </row>
    <row r="18" spans="1:17" x14ac:dyDescent="0.25">
      <c r="K18" s="9">
        <v>91508</v>
      </c>
      <c r="M18" s="31">
        <v>3.19</v>
      </c>
    </row>
    <row r="19" spans="1:17" x14ac:dyDescent="0.25">
      <c r="N19" s="12">
        <v>28685.893416927902</v>
      </c>
      <c r="O19" s="82">
        <v>28685.893416927902</v>
      </c>
    </row>
    <row r="21" spans="1:17" ht="15.75" thickBot="1" x14ac:dyDescent="0.3"/>
    <row r="22" spans="1:17" ht="15.75" thickBot="1" x14ac:dyDescent="0.3">
      <c r="K22" s="135" t="s">
        <v>341</v>
      </c>
      <c r="L22" s="136"/>
      <c r="M22" s="137"/>
    </row>
    <row r="23" spans="1:17" x14ac:dyDescent="0.25">
      <c r="A23" t="s">
        <v>342</v>
      </c>
      <c r="B23" t="s">
        <v>343</v>
      </c>
      <c r="C23" s="25">
        <v>44236</v>
      </c>
      <c r="D23" s="9">
        <v>175000</v>
      </c>
      <c r="E23" t="s">
        <v>106</v>
      </c>
      <c r="F23" t="s">
        <v>84</v>
      </c>
      <c r="G23" s="9">
        <v>175000</v>
      </c>
      <c r="H23" s="9">
        <v>70100</v>
      </c>
      <c r="I23" s="23">
        <v>40.057142857142857</v>
      </c>
      <c r="J23" s="9">
        <v>166608</v>
      </c>
      <c r="K23" s="9">
        <v>37992</v>
      </c>
      <c r="L23" s="9">
        <v>29600</v>
      </c>
      <c r="M23" s="31">
        <v>1.5</v>
      </c>
      <c r="N23" s="31">
        <v>1.5</v>
      </c>
      <c r="O23" s="9">
        <v>25328</v>
      </c>
      <c r="Q23" t="s">
        <v>312</v>
      </c>
    </row>
    <row r="24" spans="1:17" x14ac:dyDescent="0.25">
      <c r="A24" t="s">
        <v>344</v>
      </c>
      <c r="B24" t="s">
        <v>345</v>
      </c>
      <c r="C24" s="25">
        <v>44358</v>
      </c>
      <c r="D24" s="9">
        <v>200000</v>
      </c>
      <c r="E24" t="s">
        <v>106</v>
      </c>
      <c r="F24" t="s">
        <v>84</v>
      </c>
      <c r="G24" s="9">
        <v>200000</v>
      </c>
      <c r="H24" s="9">
        <v>85300</v>
      </c>
      <c r="I24" s="23">
        <v>42.65</v>
      </c>
      <c r="J24" s="9">
        <v>202731</v>
      </c>
      <c r="K24" s="79">
        <v>27213</v>
      </c>
      <c r="L24" s="9">
        <v>29944</v>
      </c>
      <c r="M24" s="78">
        <v>1.54</v>
      </c>
      <c r="N24" s="31">
        <v>1.54</v>
      </c>
      <c r="O24" s="9">
        <v>17670.779220779219</v>
      </c>
      <c r="P24" t="s">
        <v>346</v>
      </c>
      <c r="Q24" t="s">
        <v>312</v>
      </c>
    </row>
    <row r="25" spans="1:17" x14ac:dyDescent="0.25">
      <c r="K25" s="9">
        <v>65205</v>
      </c>
      <c r="M25" s="31">
        <v>3.04</v>
      </c>
    </row>
    <row r="26" spans="1:17" x14ac:dyDescent="0.25">
      <c r="N26" s="12">
        <v>21449.013157894737</v>
      </c>
      <c r="O26" s="82">
        <v>32173.519736842107</v>
      </c>
    </row>
    <row r="27" spans="1:17" ht="15.75" thickBot="1" x14ac:dyDescent="0.3"/>
    <row r="28" spans="1:17" ht="15.75" thickBot="1" x14ac:dyDescent="0.3">
      <c r="K28" s="135" t="s">
        <v>256</v>
      </c>
      <c r="L28" s="136"/>
      <c r="M28" s="137"/>
    </row>
    <row r="29" spans="1:17" x14ac:dyDescent="0.25">
      <c r="A29" t="s">
        <v>347</v>
      </c>
      <c r="B29" t="s">
        <v>348</v>
      </c>
      <c r="C29" s="25">
        <v>43959</v>
      </c>
      <c r="D29" s="9">
        <v>160000</v>
      </c>
      <c r="E29" t="s">
        <v>83</v>
      </c>
      <c r="F29" t="s">
        <v>84</v>
      </c>
      <c r="G29" s="9">
        <v>160000</v>
      </c>
      <c r="H29" s="9">
        <v>60050</v>
      </c>
      <c r="I29" s="23">
        <v>37.53125</v>
      </c>
      <c r="J29" s="9">
        <v>156699</v>
      </c>
      <c r="K29" s="9">
        <v>37262</v>
      </c>
      <c r="L29" s="9">
        <v>33961</v>
      </c>
      <c r="M29" s="31">
        <v>2.008</v>
      </c>
      <c r="N29" s="31">
        <v>2.008</v>
      </c>
      <c r="O29" s="9">
        <v>18556.772908366533</v>
      </c>
      <c r="P29" t="s">
        <v>349</v>
      </c>
      <c r="Q29" t="s">
        <v>312</v>
      </c>
    </row>
    <row r="30" spans="1:17" x14ac:dyDescent="0.25">
      <c r="A30" t="s">
        <v>350</v>
      </c>
      <c r="B30" t="s">
        <v>351</v>
      </c>
      <c r="C30" s="25">
        <v>44110</v>
      </c>
      <c r="D30" s="9">
        <v>240000</v>
      </c>
      <c r="E30" t="s">
        <v>83</v>
      </c>
      <c r="F30" t="s">
        <v>84</v>
      </c>
      <c r="G30" s="9">
        <v>240000</v>
      </c>
      <c r="H30" s="9">
        <v>103650</v>
      </c>
      <c r="I30" s="23">
        <v>43.1875</v>
      </c>
      <c r="J30" s="9">
        <v>250095</v>
      </c>
      <c r="K30" s="9">
        <v>25325</v>
      </c>
      <c r="L30" s="9">
        <v>35420</v>
      </c>
      <c r="M30" s="31">
        <v>2.2000000000000002</v>
      </c>
      <c r="N30" s="31">
        <v>2.2000000000000002</v>
      </c>
      <c r="O30" s="9">
        <v>11511.363636363636</v>
      </c>
      <c r="P30" t="s">
        <v>352</v>
      </c>
      <c r="Q30" t="s">
        <v>312</v>
      </c>
    </row>
    <row r="31" spans="1:17" x14ac:dyDescent="0.25">
      <c r="A31" t="s">
        <v>353</v>
      </c>
      <c r="B31" t="s">
        <v>354</v>
      </c>
      <c r="C31" s="25">
        <v>43868</v>
      </c>
      <c r="D31" s="9">
        <v>258000</v>
      </c>
      <c r="E31" t="s">
        <v>83</v>
      </c>
      <c r="F31" t="s">
        <v>84</v>
      </c>
      <c r="G31" s="9">
        <v>258000</v>
      </c>
      <c r="H31" s="9">
        <v>104600</v>
      </c>
      <c r="I31" s="23">
        <v>40.542635658914726</v>
      </c>
      <c r="J31" s="9">
        <v>285754</v>
      </c>
      <c r="K31" s="79">
        <v>82966</v>
      </c>
      <c r="L31" s="9">
        <v>35420</v>
      </c>
      <c r="M31" s="78">
        <v>2.2000000000000002</v>
      </c>
      <c r="N31" s="31">
        <v>2.2000000000000002</v>
      </c>
      <c r="O31" s="9">
        <v>37711.818181818177</v>
      </c>
      <c r="P31" t="s">
        <v>355</v>
      </c>
      <c r="Q31" t="s">
        <v>312</v>
      </c>
    </row>
    <row r="32" spans="1:17" x14ac:dyDescent="0.25">
      <c r="K32" s="9">
        <v>145553</v>
      </c>
      <c r="M32" s="31">
        <v>6.4080000000000004</v>
      </c>
    </row>
    <row r="33" spans="1:17" x14ac:dyDescent="0.25">
      <c r="N33" s="12">
        <v>22714.263420724095</v>
      </c>
      <c r="O33" s="82">
        <v>45428.526841448191</v>
      </c>
    </row>
    <row r="35" spans="1:17" ht="15.75" thickBot="1" x14ac:dyDescent="0.3"/>
    <row r="36" spans="1:17" ht="15.75" thickBot="1" x14ac:dyDescent="0.3">
      <c r="K36" s="135" t="s">
        <v>356</v>
      </c>
      <c r="L36" s="136"/>
      <c r="M36" s="137"/>
    </row>
    <row r="37" spans="1:17" x14ac:dyDescent="0.25">
      <c r="A37" t="s">
        <v>357</v>
      </c>
      <c r="B37" t="s">
        <v>358</v>
      </c>
      <c r="C37" s="25">
        <v>44764</v>
      </c>
      <c r="D37" s="9">
        <v>30000</v>
      </c>
      <c r="E37" t="s">
        <v>83</v>
      </c>
      <c r="F37" t="s">
        <v>84</v>
      </c>
      <c r="G37" s="9">
        <v>30000</v>
      </c>
      <c r="H37" s="9">
        <v>19100</v>
      </c>
      <c r="I37" s="23">
        <v>63.666666666666671</v>
      </c>
      <c r="J37" s="9">
        <v>38176</v>
      </c>
      <c r="K37" s="9">
        <v>30000</v>
      </c>
      <c r="L37" s="9">
        <v>38176</v>
      </c>
      <c r="M37" s="31">
        <v>2.57</v>
      </c>
      <c r="N37" s="31">
        <v>2.57</v>
      </c>
      <c r="O37" s="9">
        <v>11673.151750972764</v>
      </c>
      <c r="P37" t="s">
        <v>359</v>
      </c>
      <c r="Q37" t="s">
        <v>312</v>
      </c>
    </row>
    <row r="38" spans="1:17" x14ac:dyDescent="0.25">
      <c r="A38" t="s">
        <v>360</v>
      </c>
      <c r="B38" t="s">
        <v>361</v>
      </c>
      <c r="C38" s="25">
        <v>44704</v>
      </c>
      <c r="D38" s="9">
        <v>300000</v>
      </c>
      <c r="E38" t="s">
        <v>83</v>
      </c>
      <c r="F38" t="s">
        <v>84</v>
      </c>
      <c r="G38" s="9">
        <v>300000</v>
      </c>
      <c r="H38" s="9">
        <v>138400</v>
      </c>
      <c r="I38" s="23">
        <v>46.133333333333333</v>
      </c>
      <c r="J38" s="9">
        <v>292905</v>
      </c>
      <c r="K38" s="79">
        <v>47515</v>
      </c>
      <c r="L38" s="9">
        <v>40420</v>
      </c>
      <c r="M38" s="78">
        <v>2.9</v>
      </c>
      <c r="N38" s="31">
        <v>2.9</v>
      </c>
      <c r="O38" s="9">
        <v>16384.482758620688</v>
      </c>
      <c r="P38" t="s">
        <v>362</v>
      </c>
      <c r="Q38" t="s">
        <v>312</v>
      </c>
    </row>
    <row r="39" spans="1:17" x14ac:dyDescent="0.25">
      <c r="K39" s="9">
        <v>77515</v>
      </c>
      <c r="M39" s="31">
        <v>5.47</v>
      </c>
    </row>
    <row r="40" spans="1:17" x14ac:dyDescent="0.25">
      <c r="N40" s="12">
        <v>14170.932358318099</v>
      </c>
      <c r="O40" s="82">
        <v>35427.330895795247</v>
      </c>
    </row>
    <row r="42" spans="1:17" ht="15.75" thickBot="1" x14ac:dyDescent="0.3"/>
    <row r="43" spans="1:17" ht="15.75" thickBot="1" x14ac:dyDescent="0.3">
      <c r="K43" s="135" t="s">
        <v>236</v>
      </c>
      <c r="L43" s="136"/>
      <c r="M43" s="137"/>
    </row>
    <row r="44" spans="1:17" x14ac:dyDescent="0.25">
      <c r="A44" t="s">
        <v>363</v>
      </c>
      <c r="B44" t="s">
        <v>364</v>
      </c>
      <c r="C44" s="25">
        <v>44869</v>
      </c>
      <c r="D44" s="9">
        <v>120000</v>
      </c>
      <c r="E44" t="s">
        <v>83</v>
      </c>
      <c r="F44" t="s">
        <v>84</v>
      </c>
      <c r="G44" s="9">
        <v>120000</v>
      </c>
      <c r="H44" s="9">
        <v>80100</v>
      </c>
      <c r="I44" s="23">
        <v>66.75</v>
      </c>
      <c r="J44" s="9">
        <v>100748</v>
      </c>
      <c r="K44" s="9">
        <v>46498</v>
      </c>
      <c r="L44" s="9">
        <v>27246</v>
      </c>
      <c r="M44" s="31">
        <v>3</v>
      </c>
      <c r="N44" s="31">
        <v>3</v>
      </c>
      <c r="O44" s="9">
        <v>15499.333333333334</v>
      </c>
      <c r="P44" t="s">
        <v>365</v>
      </c>
      <c r="Q44" t="s">
        <v>312</v>
      </c>
    </row>
    <row r="45" spans="1:17" x14ac:dyDescent="0.25">
      <c r="A45" t="s">
        <v>366</v>
      </c>
      <c r="B45" t="s">
        <v>111</v>
      </c>
      <c r="C45" s="25">
        <v>44610</v>
      </c>
      <c r="D45" s="9">
        <v>221000</v>
      </c>
      <c r="E45" t="s">
        <v>106</v>
      </c>
      <c r="F45" t="s">
        <v>84</v>
      </c>
      <c r="G45" s="9">
        <v>221000</v>
      </c>
      <c r="H45" s="9">
        <v>0</v>
      </c>
      <c r="I45" s="23">
        <v>0</v>
      </c>
      <c r="J45" s="9">
        <v>175743</v>
      </c>
      <c r="K45" s="9">
        <v>86357</v>
      </c>
      <c r="L45" s="9">
        <v>41100</v>
      </c>
      <c r="M45" s="31">
        <v>3</v>
      </c>
      <c r="N45" s="31">
        <v>3</v>
      </c>
      <c r="O45" s="9">
        <v>28785.666666666668</v>
      </c>
      <c r="P45" t="s">
        <v>367</v>
      </c>
      <c r="Q45" t="s">
        <v>312</v>
      </c>
    </row>
    <row r="46" spans="1:17" x14ac:dyDescent="0.25">
      <c r="A46" t="s">
        <v>368</v>
      </c>
      <c r="B46" t="s">
        <v>369</v>
      </c>
      <c r="C46" s="25">
        <v>44263</v>
      </c>
      <c r="D46" s="9">
        <v>289000</v>
      </c>
      <c r="E46" t="s">
        <v>106</v>
      </c>
      <c r="F46" t="s">
        <v>84</v>
      </c>
      <c r="G46" s="9">
        <v>289000</v>
      </c>
      <c r="H46" s="9">
        <v>87700</v>
      </c>
      <c r="I46" s="23">
        <v>30.346020761245672</v>
      </c>
      <c r="J46" s="9">
        <v>229634</v>
      </c>
      <c r="K46" s="9">
        <v>102479</v>
      </c>
      <c r="L46" s="9">
        <v>43113</v>
      </c>
      <c r="M46" s="31">
        <v>3.33</v>
      </c>
      <c r="N46" s="31">
        <v>3.33</v>
      </c>
      <c r="O46" s="9">
        <v>30774.474474474475</v>
      </c>
      <c r="P46" t="s">
        <v>370</v>
      </c>
      <c r="Q46" t="s">
        <v>312</v>
      </c>
    </row>
    <row r="47" spans="1:17" x14ac:dyDescent="0.25">
      <c r="A47" t="s">
        <v>371</v>
      </c>
      <c r="B47" t="s">
        <v>372</v>
      </c>
      <c r="C47" s="25">
        <v>44020</v>
      </c>
      <c r="D47" s="9">
        <v>13000</v>
      </c>
      <c r="E47" t="s">
        <v>83</v>
      </c>
      <c r="F47" t="s">
        <v>84</v>
      </c>
      <c r="G47" s="9">
        <v>13000</v>
      </c>
      <c r="H47" s="9">
        <v>16800</v>
      </c>
      <c r="I47" s="23">
        <v>129.23076923076923</v>
      </c>
      <c r="J47" s="9">
        <v>45065</v>
      </c>
      <c r="K47" s="9">
        <v>13000</v>
      </c>
      <c r="L47" s="9">
        <v>45065</v>
      </c>
      <c r="M47" s="31">
        <v>3.65</v>
      </c>
      <c r="N47" s="31">
        <v>3.65</v>
      </c>
      <c r="O47" s="9">
        <v>3561.6438356164385</v>
      </c>
      <c r="P47" t="s">
        <v>373</v>
      </c>
      <c r="Q47" t="s">
        <v>312</v>
      </c>
    </row>
    <row r="48" spans="1:17" x14ac:dyDescent="0.25">
      <c r="A48" t="s">
        <v>371</v>
      </c>
      <c r="B48" t="s">
        <v>372</v>
      </c>
      <c r="C48" s="25">
        <v>44823</v>
      </c>
      <c r="D48" s="9">
        <v>45000</v>
      </c>
      <c r="E48" t="s">
        <v>83</v>
      </c>
      <c r="F48" t="s">
        <v>84</v>
      </c>
      <c r="G48" s="9">
        <v>45000</v>
      </c>
      <c r="H48" s="9">
        <v>23000</v>
      </c>
      <c r="I48" s="23">
        <v>51.111111111111107</v>
      </c>
      <c r="J48" s="9">
        <v>45065</v>
      </c>
      <c r="K48" s="9">
        <v>45000</v>
      </c>
      <c r="L48" s="9">
        <v>45065</v>
      </c>
      <c r="M48" s="31">
        <v>3.65</v>
      </c>
      <c r="N48" s="31">
        <v>3.65</v>
      </c>
      <c r="O48" s="9">
        <v>12328.767123287671</v>
      </c>
      <c r="P48" t="s">
        <v>374</v>
      </c>
      <c r="Q48" t="s">
        <v>312</v>
      </c>
    </row>
    <row r="49" spans="1:17" x14ac:dyDescent="0.25">
      <c r="K49" s="9">
        <v>293334</v>
      </c>
      <c r="M49" s="31">
        <v>16.63</v>
      </c>
    </row>
    <row r="50" spans="1:17" x14ac:dyDescent="0.25">
      <c r="N50" s="12">
        <v>17638.845460012028</v>
      </c>
      <c r="O50" s="82">
        <v>52916.536380036079</v>
      </c>
    </row>
    <row r="51" spans="1:17" ht="15.75" thickBot="1" x14ac:dyDescent="0.3"/>
    <row r="52" spans="1:17" ht="15.75" thickBot="1" x14ac:dyDescent="0.3">
      <c r="K52" s="135" t="s">
        <v>215</v>
      </c>
      <c r="L52" s="136"/>
      <c r="M52" s="137"/>
    </row>
    <row r="53" spans="1:17" x14ac:dyDescent="0.25">
      <c r="A53" t="s">
        <v>375</v>
      </c>
      <c r="B53" t="s">
        <v>372</v>
      </c>
      <c r="C53" s="25">
        <v>43985</v>
      </c>
      <c r="D53" s="9">
        <v>20000</v>
      </c>
      <c r="E53" t="s">
        <v>83</v>
      </c>
      <c r="F53" t="s">
        <v>84</v>
      </c>
      <c r="G53" s="9">
        <v>20000</v>
      </c>
      <c r="H53" s="9">
        <v>2000</v>
      </c>
      <c r="I53" s="23">
        <v>10</v>
      </c>
      <c r="J53" s="9">
        <v>11894</v>
      </c>
      <c r="K53" s="9">
        <v>20000</v>
      </c>
      <c r="L53" s="9">
        <v>11894</v>
      </c>
      <c r="M53" s="31">
        <v>4.2480000000000002</v>
      </c>
      <c r="N53" s="31">
        <v>4.2480000000000002</v>
      </c>
      <c r="O53" s="9">
        <v>4708.0979284369114</v>
      </c>
      <c r="P53" t="s">
        <v>376</v>
      </c>
      <c r="Q53" t="s">
        <v>312</v>
      </c>
    </row>
    <row r="54" spans="1:17" x14ac:dyDescent="0.25">
      <c r="A54" t="s">
        <v>377</v>
      </c>
      <c r="B54" t="s">
        <v>378</v>
      </c>
      <c r="C54" s="25">
        <v>44771</v>
      </c>
      <c r="D54" s="9">
        <v>100000</v>
      </c>
      <c r="E54" t="s">
        <v>83</v>
      </c>
      <c r="F54" t="s">
        <v>84</v>
      </c>
      <c r="G54" s="9">
        <v>100000</v>
      </c>
      <c r="H54" s="9">
        <v>23200</v>
      </c>
      <c r="I54" s="23">
        <v>23.200000000000003</v>
      </c>
      <c r="J54" s="9">
        <v>49373</v>
      </c>
      <c r="K54" s="9">
        <v>100000</v>
      </c>
      <c r="L54" s="9">
        <v>49373</v>
      </c>
      <c r="M54" s="31">
        <v>4.41</v>
      </c>
      <c r="N54" s="31">
        <v>4.41</v>
      </c>
      <c r="O54" s="9">
        <v>22675.736961451246</v>
      </c>
      <c r="P54" t="s">
        <v>379</v>
      </c>
      <c r="Q54" t="s">
        <v>312</v>
      </c>
    </row>
    <row r="55" spans="1:17" x14ac:dyDescent="0.25">
      <c r="A55" t="s">
        <v>377</v>
      </c>
      <c r="B55" t="s">
        <v>378</v>
      </c>
      <c r="C55" s="25">
        <v>44194</v>
      </c>
      <c r="D55" s="9">
        <v>45000</v>
      </c>
      <c r="E55" t="s">
        <v>106</v>
      </c>
      <c r="F55" t="s">
        <v>84</v>
      </c>
      <c r="G55" s="9">
        <v>45000</v>
      </c>
      <c r="H55" s="9">
        <v>20700</v>
      </c>
      <c r="I55" s="23">
        <v>46</v>
      </c>
      <c r="J55" s="9">
        <v>49373</v>
      </c>
      <c r="K55" s="9">
        <v>45000</v>
      </c>
      <c r="L55" s="9">
        <v>49373</v>
      </c>
      <c r="M55" s="31">
        <v>4.41</v>
      </c>
      <c r="N55" s="31">
        <v>4.41</v>
      </c>
      <c r="O55" s="9">
        <v>10204.08163265306</v>
      </c>
      <c r="Q55" t="s">
        <v>312</v>
      </c>
    </row>
    <row r="56" spans="1:17" x14ac:dyDescent="0.25">
      <c r="A56" t="s">
        <v>380</v>
      </c>
      <c r="B56" t="s">
        <v>381</v>
      </c>
      <c r="C56" s="25">
        <v>44418</v>
      </c>
      <c r="D56" s="9">
        <v>380000</v>
      </c>
      <c r="E56" t="s">
        <v>83</v>
      </c>
      <c r="F56" t="s">
        <v>84</v>
      </c>
      <c r="G56" s="9">
        <v>380000</v>
      </c>
      <c r="H56" s="9">
        <v>132400</v>
      </c>
      <c r="I56" s="23">
        <v>34.842105263157897</v>
      </c>
      <c r="J56" s="9">
        <v>304272</v>
      </c>
      <c r="K56" s="9">
        <v>125446</v>
      </c>
      <c r="L56" s="9">
        <v>49718</v>
      </c>
      <c r="M56" s="31">
        <v>4.4749999999999996</v>
      </c>
      <c r="N56" s="31">
        <v>4.4749999999999996</v>
      </c>
      <c r="O56" s="9">
        <v>28032.625698324024</v>
      </c>
      <c r="P56" t="s">
        <v>382</v>
      </c>
      <c r="Q56" t="s">
        <v>312</v>
      </c>
    </row>
    <row r="57" spans="1:17" x14ac:dyDescent="0.25">
      <c r="A57" t="s">
        <v>383</v>
      </c>
      <c r="B57" t="s">
        <v>384</v>
      </c>
      <c r="C57" s="25">
        <v>44764</v>
      </c>
      <c r="D57" s="9">
        <v>40000</v>
      </c>
      <c r="E57" t="s">
        <v>83</v>
      </c>
      <c r="F57" t="s">
        <v>84</v>
      </c>
      <c r="G57" s="9">
        <v>40000</v>
      </c>
      <c r="H57" s="9">
        <v>25700</v>
      </c>
      <c r="I57" s="23">
        <v>64.25</v>
      </c>
      <c r="J57" s="9">
        <v>51440</v>
      </c>
      <c r="K57" s="79">
        <v>40000</v>
      </c>
      <c r="L57" s="9">
        <v>51440</v>
      </c>
      <c r="M57" s="78">
        <v>4.8</v>
      </c>
      <c r="N57" s="31">
        <v>4.8</v>
      </c>
      <c r="O57" s="9">
        <v>8333.3333333333339</v>
      </c>
      <c r="P57" t="s">
        <v>385</v>
      </c>
      <c r="Q57" t="s">
        <v>312</v>
      </c>
    </row>
    <row r="58" spans="1:17" x14ac:dyDescent="0.25">
      <c r="K58" s="9">
        <v>330446</v>
      </c>
      <c r="M58" s="31">
        <v>22.343</v>
      </c>
    </row>
    <row r="59" spans="1:17" x14ac:dyDescent="0.25">
      <c r="N59" s="12">
        <v>14789.688045472854</v>
      </c>
      <c r="O59" s="82">
        <v>59158.752181891417</v>
      </c>
    </row>
    <row r="61" spans="1:17" ht="15.75" thickBot="1" x14ac:dyDescent="0.3"/>
    <row r="62" spans="1:17" ht="15.75" thickBot="1" x14ac:dyDescent="0.3">
      <c r="K62" s="135" t="s">
        <v>203</v>
      </c>
      <c r="L62" s="136"/>
      <c r="M62" s="137"/>
    </row>
    <row r="63" spans="1:17" x14ac:dyDescent="0.25">
      <c r="A63" t="s">
        <v>386</v>
      </c>
      <c r="B63" t="s">
        <v>387</v>
      </c>
      <c r="C63" s="25">
        <v>44287</v>
      </c>
      <c r="D63" s="9">
        <v>165000</v>
      </c>
      <c r="E63" t="s">
        <v>83</v>
      </c>
      <c r="F63" t="s">
        <v>84</v>
      </c>
      <c r="G63" s="9">
        <v>165000</v>
      </c>
      <c r="H63" s="9">
        <v>93600</v>
      </c>
      <c r="I63" s="23">
        <v>56.727272727272727</v>
      </c>
      <c r="J63" s="9">
        <v>211878</v>
      </c>
      <c r="K63" s="9">
        <v>5622</v>
      </c>
      <c r="L63" s="9">
        <v>52500</v>
      </c>
      <c r="M63" s="31">
        <v>5</v>
      </c>
      <c r="N63" s="31">
        <v>5</v>
      </c>
      <c r="O63" s="9">
        <v>1124.4000000000001</v>
      </c>
      <c r="P63" t="s">
        <v>388</v>
      </c>
      <c r="Q63" t="s">
        <v>312</v>
      </c>
    </row>
    <row r="64" spans="1:17" x14ac:dyDescent="0.25">
      <c r="A64" t="s">
        <v>389</v>
      </c>
      <c r="B64" t="s">
        <v>390</v>
      </c>
      <c r="C64" s="25">
        <v>44470</v>
      </c>
      <c r="D64" s="9">
        <v>83500</v>
      </c>
      <c r="E64" t="s">
        <v>83</v>
      </c>
      <c r="F64" t="s">
        <v>84</v>
      </c>
      <c r="G64" s="9">
        <v>83500</v>
      </c>
      <c r="H64" s="9">
        <v>25800</v>
      </c>
      <c r="I64" s="23">
        <v>30.898203592814372</v>
      </c>
      <c r="J64" s="9">
        <v>52500</v>
      </c>
      <c r="K64" s="9">
        <v>83500</v>
      </c>
      <c r="L64" s="9">
        <v>52500</v>
      </c>
      <c r="M64" s="31">
        <v>5</v>
      </c>
      <c r="N64" s="31">
        <v>5</v>
      </c>
      <c r="O64" s="9">
        <v>16700</v>
      </c>
      <c r="P64" t="s">
        <v>391</v>
      </c>
      <c r="Q64" t="s">
        <v>312</v>
      </c>
    </row>
    <row r="65" spans="1:17" x14ac:dyDescent="0.25">
      <c r="A65" t="s">
        <v>389</v>
      </c>
      <c r="B65" t="s">
        <v>390</v>
      </c>
      <c r="C65" s="25">
        <v>44473</v>
      </c>
      <c r="D65" s="9">
        <v>65000</v>
      </c>
      <c r="E65" t="s">
        <v>83</v>
      </c>
      <c r="F65" t="s">
        <v>84</v>
      </c>
      <c r="G65" s="9">
        <v>65000</v>
      </c>
      <c r="H65" s="9">
        <v>25800</v>
      </c>
      <c r="I65" s="23">
        <v>39.692307692307693</v>
      </c>
      <c r="J65" s="9">
        <v>52500</v>
      </c>
      <c r="K65" s="9">
        <v>65000</v>
      </c>
      <c r="L65" s="9">
        <v>52500</v>
      </c>
      <c r="M65" s="31">
        <v>5</v>
      </c>
      <c r="N65" s="31">
        <v>5</v>
      </c>
      <c r="O65" s="9">
        <v>13000</v>
      </c>
      <c r="P65" t="s">
        <v>392</v>
      </c>
      <c r="Q65" t="s">
        <v>312</v>
      </c>
    </row>
    <row r="66" spans="1:17" x14ac:dyDescent="0.25">
      <c r="A66" t="s">
        <v>393</v>
      </c>
      <c r="B66" t="s">
        <v>394</v>
      </c>
      <c r="C66" s="25">
        <v>44280</v>
      </c>
      <c r="D66" s="9">
        <v>405000</v>
      </c>
      <c r="E66" t="s">
        <v>83</v>
      </c>
      <c r="F66" t="s">
        <v>84</v>
      </c>
      <c r="G66" s="9">
        <v>405000</v>
      </c>
      <c r="H66" s="9">
        <v>118350</v>
      </c>
      <c r="I66" s="23">
        <v>29.222222222222221</v>
      </c>
      <c r="J66" s="9">
        <v>290163</v>
      </c>
      <c r="K66" s="9">
        <v>117792</v>
      </c>
      <c r="L66" s="9">
        <v>52955</v>
      </c>
      <c r="M66" s="31">
        <v>5.0999999999999996</v>
      </c>
      <c r="N66" s="31">
        <v>5.0999999999999996</v>
      </c>
      <c r="O66" s="9">
        <v>23096.470588235297</v>
      </c>
      <c r="P66" t="s">
        <v>395</v>
      </c>
      <c r="Q66" t="s">
        <v>312</v>
      </c>
    </row>
    <row r="67" spans="1:17" x14ac:dyDescent="0.25">
      <c r="A67" t="s">
        <v>396</v>
      </c>
      <c r="B67" t="s">
        <v>397</v>
      </c>
      <c r="C67" s="25">
        <v>44399</v>
      </c>
      <c r="D67" s="9">
        <v>143000</v>
      </c>
      <c r="E67" t="s">
        <v>83</v>
      </c>
      <c r="F67" t="s">
        <v>398</v>
      </c>
      <c r="G67" s="9">
        <v>143000</v>
      </c>
      <c r="H67" s="9">
        <v>71200</v>
      </c>
      <c r="I67" s="23">
        <v>49.790209790209786</v>
      </c>
      <c r="J67" s="9">
        <v>158314</v>
      </c>
      <c r="K67" s="79">
        <v>43283</v>
      </c>
      <c r="L67" s="9">
        <v>58597</v>
      </c>
      <c r="M67" s="78">
        <v>6.34</v>
      </c>
      <c r="N67" s="31">
        <v>6.34</v>
      </c>
      <c r="O67" s="9">
        <v>6826.9716088328078</v>
      </c>
      <c r="P67" t="s">
        <v>399</v>
      </c>
      <c r="Q67" t="s">
        <v>312</v>
      </c>
    </row>
    <row r="68" spans="1:17" x14ac:dyDescent="0.25">
      <c r="K68" s="9">
        <v>315197</v>
      </c>
      <c r="M68" s="31">
        <v>26.44</v>
      </c>
    </row>
    <row r="69" spans="1:17" x14ac:dyDescent="0.25">
      <c r="N69" s="12">
        <v>11921.217851739788</v>
      </c>
      <c r="O69" s="82">
        <v>59606.089258698936</v>
      </c>
    </row>
    <row r="71" spans="1:17" ht="15.75" thickBot="1" x14ac:dyDescent="0.3"/>
    <row r="72" spans="1:17" ht="15.75" thickBot="1" x14ac:dyDescent="0.3">
      <c r="K72" s="135" t="s">
        <v>400</v>
      </c>
      <c r="L72" s="136"/>
      <c r="M72" s="137"/>
    </row>
    <row r="73" spans="1:17" x14ac:dyDescent="0.25">
      <c r="A73" t="s">
        <v>401</v>
      </c>
      <c r="C73" s="25">
        <v>44680</v>
      </c>
      <c r="D73" s="9">
        <v>74900</v>
      </c>
      <c r="E73" t="s">
        <v>106</v>
      </c>
      <c r="F73" t="s">
        <v>84</v>
      </c>
      <c r="G73" s="9">
        <v>74900</v>
      </c>
      <c r="H73" s="9">
        <v>30400</v>
      </c>
      <c r="I73" s="23">
        <v>40.587449933244322</v>
      </c>
      <c r="J73" s="9">
        <v>60763</v>
      </c>
      <c r="K73" s="83">
        <v>74900</v>
      </c>
      <c r="L73" s="9">
        <v>60763</v>
      </c>
      <c r="M73" s="84">
        <v>6.8159999999999998</v>
      </c>
      <c r="N73" s="31">
        <v>6.8159999999999998</v>
      </c>
      <c r="O73" s="9">
        <v>10988.849765258215</v>
      </c>
      <c r="Q73" t="s">
        <v>312</v>
      </c>
    </row>
    <row r="74" spans="1:17" x14ac:dyDescent="0.25">
      <c r="K74" s="9">
        <v>74900</v>
      </c>
      <c r="M74" s="31">
        <v>6.8159999999999998</v>
      </c>
    </row>
    <row r="75" spans="1:17" x14ac:dyDescent="0.25">
      <c r="N75" s="12">
        <v>10988.849765258215</v>
      </c>
      <c r="O75" s="82">
        <v>76921.948356807508</v>
      </c>
    </row>
    <row r="77" spans="1:17" ht="15.75" thickBot="1" x14ac:dyDescent="0.3"/>
    <row r="78" spans="1:17" ht="15.75" thickBot="1" x14ac:dyDescent="0.3">
      <c r="K78" s="135" t="s">
        <v>196</v>
      </c>
      <c r="L78" s="136"/>
      <c r="M78" s="137"/>
    </row>
    <row r="79" spans="1:17" x14ac:dyDescent="0.25">
      <c r="A79" t="s">
        <v>402</v>
      </c>
      <c r="B79" t="s">
        <v>403</v>
      </c>
      <c r="C79" s="25">
        <v>44287</v>
      </c>
      <c r="D79" s="9">
        <v>105000</v>
      </c>
      <c r="E79" t="s">
        <v>83</v>
      </c>
      <c r="F79" t="s">
        <v>84</v>
      </c>
      <c r="G79" s="9">
        <v>105000</v>
      </c>
      <c r="H79" s="9">
        <v>72700</v>
      </c>
      <c r="I79" s="23">
        <v>69.238095238095241</v>
      </c>
      <c r="J79" s="9">
        <v>156685</v>
      </c>
      <c r="K79" s="9">
        <v>19077</v>
      </c>
      <c r="L79" s="9">
        <v>70762</v>
      </c>
      <c r="M79" s="31">
        <v>9.39</v>
      </c>
      <c r="N79" s="31">
        <v>9.39</v>
      </c>
      <c r="O79" s="9">
        <v>2031.6293929712458</v>
      </c>
      <c r="P79" t="s">
        <v>404</v>
      </c>
      <c r="Q79" t="s">
        <v>312</v>
      </c>
    </row>
    <row r="80" spans="1:17" x14ac:dyDescent="0.25">
      <c r="A80" t="s">
        <v>405</v>
      </c>
      <c r="B80" t="s">
        <v>406</v>
      </c>
      <c r="C80" s="25">
        <v>44232</v>
      </c>
      <c r="D80" s="9">
        <v>340000</v>
      </c>
      <c r="E80" t="s">
        <v>106</v>
      </c>
      <c r="F80" t="s">
        <v>84</v>
      </c>
      <c r="G80" s="9">
        <v>340000</v>
      </c>
      <c r="H80" s="9">
        <v>110550</v>
      </c>
      <c r="I80" s="23">
        <v>32.514705882352942</v>
      </c>
      <c r="J80" s="9">
        <v>282650</v>
      </c>
      <c r="K80" s="9">
        <v>130450</v>
      </c>
      <c r="L80" s="9">
        <v>73100</v>
      </c>
      <c r="M80" s="31">
        <v>10</v>
      </c>
      <c r="N80" s="31">
        <v>10</v>
      </c>
      <c r="O80" s="9">
        <v>13045</v>
      </c>
      <c r="Q80" t="s">
        <v>312</v>
      </c>
    </row>
    <row r="81" spans="1:17" x14ac:dyDescent="0.25">
      <c r="A81" t="s">
        <v>407</v>
      </c>
      <c r="B81" t="s">
        <v>408</v>
      </c>
      <c r="C81" s="25">
        <v>44229</v>
      </c>
      <c r="D81" s="9">
        <v>21500</v>
      </c>
      <c r="E81" t="s">
        <v>83</v>
      </c>
      <c r="F81" t="s">
        <v>84</v>
      </c>
      <c r="G81" s="9">
        <v>21500</v>
      </c>
      <c r="H81" s="9">
        <v>21500</v>
      </c>
      <c r="I81" s="23">
        <v>100</v>
      </c>
      <c r="J81" s="9">
        <v>73100</v>
      </c>
      <c r="K81" s="9">
        <v>21500</v>
      </c>
      <c r="L81" s="9">
        <v>73100</v>
      </c>
      <c r="M81" s="31">
        <v>10</v>
      </c>
      <c r="N81" s="31">
        <v>10</v>
      </c>
      <c r="O81" s="9">
        <v>2150</v>
      </c>
      <c r="P81" t="s">
        <v>409</v>
      </c>
      <c r="Q81" t="s">
        <v>312</v>
      </c>
    </row>
    <row r="82" spans="1:17" x14ac:dyDescent="0.25">
      <c r="A82" t="s">
        <v>410</v>
      </c>
      <c r="C82" s="25">
        <v>44229</v>
      </c>
      <c r="D82" s="9">
        <v>21500</v>
      </c>
      <c r="E82" t="s">
        <v>83</v>
      </c>
      <c r="F82" t="s">
        <v>84</v>
      </c>
      <c r="G82" s="9">
        <v>21500</v>
      </c>
      <c r="H82" s="9">
        <v>21500</v>
      </c>
      <c r="I82" s="23">
        <v>100</v>
      </c>
      <c r="J82" s="9">
        <v>73100</v>
      </c>
      <c r="K82" s="9">
        <v>21500</v>
      </c>
      <c r="L82" s="9">
        <v>73100</v>
      </c>
      <c r="M82" s="31">
        <v>10</v>
      </c>
      <c r="N82" s="31">
        <v>10</v>
      </c>
      <c r="O82" s="9">
        <v>2150</v>
      </c>
      <c r="P82" t="s">
        <v>409</v>
      </c>
      <c r="Q82" t="s">
        <v>312</v>
      </c>
    </row>
    <row r="83" spans="1:17" x14ac:dyDescent="0.25">
      <c r="A83" t="s">
        <v>411</v>
      </c>
      <c r="B83" t="s">
        <v>412</v>
      </c>
      <c r="C83" s="25">
        <v>44211</v>
      </c>
      <c r="D83" s="9">
        <v>176100</v>
      </c>
      <c r="E83" t="s">
        <v>106</v>
      </c>
      <c r="F83" t="s">
        <v>84</v>
      </c>
      <c r="G83" s="9">
        <v>176100</v>
      </c>
      <c r="H83" s="9">
        <v>67000</v>
      </c>
      <c r="I83" s="23">
        <v>38.0465644520159</v>
      </c>
      <c r="J83" s="9">
        <v>193387</v>
      </c>
      <c r="K83" s="9">
        <v>55813</v>
      </c>
      <c r="L83" s="9">
        <v>73100</v>
      </c>
      <c r="M83" s="31">
        <v>10</v>
      </c>
      <c r="N83" s="31">
        <v>10</v>
      </c>
      <c r="O83" s="9">
        <v>5581.3</v>
      </c>
      <c r="Q83" t="s">
        <v>312</v>
      </c>
    </row>
    <row r="84" spans="1:17" x14ac:dyDescent="0.25">
      <c r="A84" t="s">
        <v>413</v>
      </c>
      <c r="B84" t="s">
        <v>414</v>
      </c>
      <c r="C84" s="25">
        <v>44475</v>
      </c>
      <c r="D84" s="9">
        <v>75500</v>
      </c>
      <c r="E84" t="s">
        <v>106</v>
      </c>
      <c r="F84" t="s">
        <v>84</v>
      </c>
      <c r="G84" s="9">
        <v>75500</v>
      </c>
      <c r="H84" s="9">
        <v>32600</v>
      </c>
      <c r="I84" s="23">
        <v>43.178807947019862</v>
      </c>
      <c r="J84" s="9">
        <v>76513</v>
      </c>
      <c r="K84" s="9">
        <v>75500</v>
      </c>
      <c r="L84" s="9">
        <v>76513</v>
      </c>
      <c r="M84" s="31">
        <v>11.08</v>
      </c>
      <c r="N84" s="31">
        <v>11.08</v>
      </c>
      <c r="O84" s="9">
        <v>6814.0794223826715</v>
      </c>
      <c r="P84" t="s">
        <v>415</v>
      </c>
      <c r="Q84" t="s">
        <v>312</v>
      </c>
    </row>
    <row r="85" spans="1:17" x14ac:dyDescent="0.25">
      <c r="A85" t="s">
        <v>416</v>
      </c>
      <c r="B85" t="s">
        <v>417</v>
      </c>
      <c r="C85" s="25">
        <v>44113</v>
      </c>
      <c r="D85" s="9">
        <v>710000</v>
      </c>
      <c r="E85" t="s">
        <v>83</v>
      </c>
      <c r="F85" t="s">
        <v>84</v>
      </c>
      <c r="G85" s="9">
        <v>710000</v>
      </c>
      <c r="H85" s="9">
        <v>196350</v>
      </c>
      <c r="I85" s="23">
        <v>27.654929577464788</v>
      </c>
      <c r="J85" s="9">
        <v>648081</v>
      </c>
      <c r="K85" s="9">
        <v>139348</v>
      </c>
      <c r="L85" s="9">
        <v>77429</v>
      </c>
      <c r="M85" s="31">
        <v>11.37</v>
      </c>
      <c r="N85" s="31">
        <v>11.37</v>
      </c>
      <c r="O85" s="9">
        <v>12255.76077396658</v>
      </c>
      <c r="P85" t="s">
        <v>418</v>
      </c>
      <c r="Q85" t="s">
        <v>312</v>
      </c>
    </row>
    <row r="86" spans="1:17" x14ac:dyDescent="0.25">
      <c r="A86" t="s">
        <v>419</v>
      </c>
      <c r="B86" t="s">
        <v>420</v>
      </c>
      <c r="C86" s="25">
        <v>44565</v>
      </c>
      <c r="D86" s="9">
        <v>220000</v>
      </c>
      <c r="E86" t="s">
        <v>106</v>
      </c>
      <c r="F86" t="s">
        <v>84</v>
      </c>
      <c r="G86" s="9">
        <v>220000</v>
      </c>
      <c r="H86" s="9">
        <v>0</v>
      </c>
      <c r="I86" s="23">
        <v>0</v>
      </c>
      <c r="J86" s="9">
        <v>78409</v>
      </c>
      <c r="K86" s="79">
        <v>220000</v>
      </c>
      <c r="L86" s="9">
        <v>78409</v>
      </c>
      <c r="M86" s="78">
        <v>11.68</v>
      </c>
      <c r="N86" s="31">
        <v>11.68</v>
      </c>
      <c r="O86" s="9">
        <v>18835.616438356166</v>
      </c>
      <c r="P86" t="s">
        <v>421</v>
      </c>
      <c r="Q86" t="s">
        <v>312</v>
      </c>
    </row>
    <row r="87" spans="1:17" x14ac:dyDescent="0.25">
      <c r="K87" s="9">
        <v>683188</v>
      </c>
      <c r="M87" s="31">
        <v>83.52000000000001</v>
      </c>
    </row>
    <row r="88" spans="1:17" x14ac:dyDescent="0.25">
      <c r="N88" s="12">
        <v>8179.9329501915699</v>
      </c>
      <c r="O88" s="82">
        <v>81799.329501915694</v>
      </c>
    </row>
    <row r="91" spans="1:17" ht="15.75" thickBot="1" x14ac:dyDescent="0.3"/>
    <row r="92" spans="1:17" ht="15.75" thickBot="1" x14ac:dyDescent="0.3">
      <c r="K92" s="135" t="s">
        <v>422</v>
      </c>
      <c r="L92" s="136"/>
      <c r="M92" s="137"/>
    </row>
    <row r="93" spans="1:17" x14ac:dyDescent="0.25">
      <c r="A93" t="s">
        <v>423</v>
      </c>
      <c r="B93" t="s">
        <v>238</v>
      </c>
      <c r="C93" s="25">
        <v>44671</v>
      </c>
      <c r="D93" s="9">
        <v>195000</v>
      </c>
      <c r="E93" t="s">
        <v>106</v>
      </c>
      <c r="F93" t="s">
        <v>84</v>
      </c>
      <c r="G93" s="9">
        <v>195000</v>
      </c>
      <c r="H93" s="9">
        <v>40400</v>
      </c>
      <c r="I93" s="23">
        <v>20.717948717948715</v>
      </c>
      <c r="J93" s="9">
        <v>80779</v>
      </c>
      <c r="K93" s="9">
        <v>195000</v>
      </c>
      <c r="L93" s="9">
        <v>80779</v>
      </c>
      <c r="M93" s="31">
        <v>12.43</v>
      </c>
      <c r="N93" s="31">
        <v>12.43</v>
      </c>
      <c r="O93" s="9">
        <v>15687.851971037811</v>
      </c>
      <c r="P93" t="s">
        <v>424</v>
      </c>
      <c r="Q93" t="s">
        <v>312</v>
      </c>
    </row>
    <row r="94" spans="1:17" x14ac:dyDescent="0.25">
      <c r="A94" t="s">
        <v>425</v>
      </c>
      <c r="B94" t="s">
        <v>426</v>
      </c>
      <c r="C94" s="25">
        <v>44155</v>
      </c>
      <c r="D94" s="9">
        <v>230000</v>
      </c>
      <c r="E94" t="s">
        <v>83</v>
      </c>
      <c r="F94" t="s">
        <v>84</v>
      </c>
      <c r="G94" s="9">
        <v>230000</v>
      </c>
      <c r="H94" s="9">
        <v>0</v>
      </c>
      <c r="I94" s="23">
        <v>0</v>
      </c>
      <c r="J94" s="9">
        <v>153960</v>
      </c>
      <c r="K94" s="9">
        <v>167148</v>
      </c>
      <c r="L94" s="9">
        <v>91108</v>
      </c>
      <c r="M94" s="31">
        <v>15.83</v>
      </c>
      <c r="N94" s="31">
        <v>15.83</v>
      </c>
      <c r="O94" s="9">
        <v>10558.938723941883</v>
      </c>
      <c r="P94" t="s">
        <v>427</v>
      </c>
      <c r="Q94" t="s">
        <v>312</v>
      </c>
    </row>
    <row r="95" spans="1:17" x14ac:dyDescent="0.25">
      <c r="A95" t="s">
        <v>428</v>
      </c>
      <c r="B95" t="s">
        <v>429</v>
      </c>
      <c r="C95" s="25">
        <v>44229</v>
      </c>
      <c r="D95" s="9">
        <v>31600</v>
      </c>
      <c r="E95" t="s">
        <v>83</v>
      </c>
      <c r="F95" t="s">
        <v>84</v>
      </c>
      <c r="G95" s="9">
        <v>31600</v>
      </c>
      <c r="H95" s="9">
        <v>31600</v>
      </c>
      <c r="I95" s="23">
        <v>100</v>
      </c>
      <c r="J95" s="9">
        <v>94499</v>
      </c>
      <c r="K95" s="79">
        <v>30257</v>
      </c>
      <c r="L95" s="9">
        <v>93156</v>
      </c>
      <c r="M95" s="78">
        <v>16.600000000000001</v>
      </c>
      <c r="N95" s="31">
        <v>16.600000000000001</v>
      </c>
      <c r="O95" s="9">
        <v>1822.7108433734938</v>
      </c>
      <c r="P95" t="s">
        <v>409</v>
      </c>
      <c r="Q95" t="s">
        <v>312</v>
      </c>
    </row>
    <row r="96" spans="1:17" x14ac:dyDescent="0.25">
      <c r="K96" s="9">
        <v>392405</v>
      </c>
      <c r="M96" s="31">
        <v>44.86</v>
      </c>
    </row>
    <row r="97" spans="1:17" x14ac:dyDescent="0.25">
      <c r="N97" s="12">
        <v>8747.3250111457874</v>
      </c>
      <c r="O97" s="82">
        <v>131209.87516718681</v>
      </c>
    </row>
    <row r="98" spans="1:17" ht="15.75" thickBot="1" x14ac:dyDescent="0.3"/>
    <row r="99" spans="1:17" ht="15.75" thickBot="1" x14ac:dyDescent="0.3">
      <c r="K99" s="135" t="s">
        <v>170</v>
      </c>
      <c r="L99" s="136"/>
      <c r="M99" s="137"/>
    </row>
    <row r="100" spans="1:17" x14ac:dyDescent="0.25">
      <c r="A100" t="s">
        <v>430</v>
      </c>
      <c r="B100" t="s">
        <v>431</v>
      </c>
      <c r="C100" s="25">
        <v>44708</v>
      </c>
      <c r="D100" s="9">
        <v>150000</v>
      </c>
      <c r="E100" t="s">
        <v>106</v>
      </c>
      <c r="F100" t="s">
        <v>84</v>
      </c>
      <c r="G100" s="9">
        <v>150000</v>
      </c>
      <c r="H100" s="9">
        <v>51100</v>
      </c>
      <c r="I100" s="23">
        <v>34.06666666666667</v>
      </c>
      <c r="J100" s="9">
        <v>106376</v>
      </c>
      <c r="K100" s="79">
        <v>150000</v>
      </c>
      <c r="L100" s="9">
        <v>106376</v>
      </c>
      <c r="M100" s="78">
        <v>21.8</v>
      </c>
      <c r="N100" s="31">
        <v>21.8</v>
      </c>
      <c r="O100" s="9">
        <v>6880.7339449541278</v>
      </c>
      <c r="P100" t="s">
        <v>432</v>
      </c>
      <c r="Q100" t="s">
        <v>312</v>
      </c>
    </row>
    <row r="101" spans="1:17" x14ac:dyDescent="0.25">
      <c r="K101" s="9">
        <v>150000</v>
      </c>
      <c r="M101" s="31">
        <v>21.8</v>
      </c>
    </row>
    <row r="102" spans="1:17" x14ac:dyDescent="0.25">
      <c r="N102" s="12">
        <v>6880.7339449541278</v>
      </c>
      <c r="O102" s="82">
        <v>137614.67889908256</v>
      </c>
    </row>
    <row r="103" spans="1:17" ht="15.75" thickBot="1" x14ac:dyDescent="0.3"/>
    <row r="104" spans="1:17" ht="15.75" thickBot="1" x14ac:dyDescent="0.3">
      <c r="K104" s="135" t="s">
        <v>162</v>
      </c>
      <c r="L104" s="136"/>
      <c r="M104" s="137"/>
    </row>
    <row r="105" spans="1:17" x14ac:dyDescent="0.25">
      <c r="A105" t="s">
        <v>433</v>
      </c>
      <c r="B105" t="s">
        <v>434</v>
      </c>
      <c r="C105" s="25">
        <v>44155</v>
      </c>
      <c r="D105" s="9">
        <v>230000</v>
      </c>
      <c r="E105" t="s">
        <v>83</v>
      </c>
      <c r="F105" t="s">
        <v>84</v>
      </c>
      <c r="G105" s="9">
        <v>230000</v>
      </c>
      <c r="H105" s="9">
        <v>81400</v>
      </c>
      <c r="I105" s="23">
        <v>35.391304347826086</v>
      </c>
      <c r="J105" s="9">
        <v>196384</v>
      </c>
      <c r="K105" s="9">
        <v>167148</v>
      </c>
      <c r="L105" s="9">
        <v>133532</v>
      </c>
      <c r="M105" s="31">
        <v>34.99</v>
      </c>
      <c r="N105" s="31">
        <v>34.99</v>
      </c>
      <c r="O105" s="9">
        <v>4777.0220062875105</v>
      </c>
      <c r="P105" t="s">
        <v>427</v>
      </c>
      <c r="Q105" t="s">
        <v>312</v>
      </c>
    </row>
    <row r="106" spans="1:17" x14ac:dyDescent="0.25">
      <c r="A106" t="s">
        <v>435</v>
      </c>
      <c r="C106" s="25">
        <v>43844</v>
      </c>
      <c r="D106" s="9">
        <v>95000</v>
      </c>
      <c r="E106" t="s">
        <v>83</v>
      </c>
      <c r="F106" t="s">
        <v>84</v>
      </c>
      <c r="G106" s="9">
        <v>95000</v>
      </c>
      <c r="H106" s="9">
        <v>39500</v>
      </c>
      <c r="I106" s="23">
        <v>41.578947368421055</v>
      </c>
      <c r="J106" s="9">
        <v>146060</v>
      </c>
      <c r="K106" s="79">
        <v>95000</v>
      </c>
      <c r="L106" s="9">
        <v>146060</v>
      </c>
      <c r="M106" s="78">
        <v>42</v>
      </c>
      <c r="N106" s="31">
        <v>42</v>
      </c>
      <c r="O106" s="9">
        <v>2261.9047619047619</v>
      </c>
      <c r="P106" t="s">
        <v>436</v>
      </c>
      <c r="Q106" t="s">
        <v>312</v>
      </c>
    </row>
    <row r="107" spans="1:17" x14ac:dyDescent="0.25">
      <c r="K107" s="9">
        <v>262148</v>
      </c>
      <c r="M107" s="31">
        <v>76.990000000000009</v>
      </c>
    </row>
    <row r="108" spans="1:17" x14ac:dyDescent="0.25">
      <c r="N108" s="12">
        <v>3404.9616833354976</v>
      </c>
      <c r="O108" s="82">
        <v>136198.46733341989</v>
      </c>
    </row>
    <row r="110" spans="1:17" ht="15.75" thickBot="1" x14ac:dyDescent="0.3"/>
    <row r="111" spans="1:17" ht="15.75" thickBot="1" x14ac:dyDescent="0.3">
      <c r="K111" s="135" t="s">
        <v>441</v>
      </c>
      <c r="L111" s="136"/>
      <c r="M111" s="137"/>
    </row>
    <row r="112" spans="1:17" x14ac:dyDescent="0.25">
      <c r="A112" t="s">
        <v>437</v>
      </c>
      <c r="B112" t="s">
        <v>238</v>
      </c>
      <c r="C112" s="25">
        <v>44239</v>
      </c>
      <c r="D112" s="9">
        <v>400000</v>
      </c>
      <c r="E112" t="s">
        <v>83</v>
      </c>
      <c r="F112" t="s">
        <v>84</v>
      </c>
      <c r="G112" s="9">
        <v>400000</v>
      </c>
      <c r="H112" s="9">
        <v>44550</v>
      </c>
      <c r="I112" s="23">
        <v>11.137499999999999</v>
      </c>
      <c r="J112" s="9">
        <v>195479</v>
      </c>
      <c r="K112" s="9">
        <v>400000</v>
      </c>
      <c r="L112" s="9">
        <v>195479</v>
      </c>
      <c r="M112" s="31">
        <v>78.599999999999994</v>
      </c>
      <c r="N112" s="31">
        <v>78.599999999999994</v>
      </c>
      <c r="O112" s="9">
        <v>5089.0585241730287</v>
      </c>
      <c r="P112" t="s">
        <v>438</v>
      </c>
      <c r="Q112" t="s">
        <v>312</v>
      </c>
    </row>
    <row r="113" spans="1:17" x14ac:dyDescent="0.25">
      <c r="A113" t="s">
        <v>439</v>
      </c>
      <c r="B113" t="s">
        <v>440</v>
      </c>
      <c r="C113" s="25">
        <v>43924</v>
      </c>
      <c r="D113" s="9">
        <v>250000</v>
      </c>
      <c r="E113" t="s">
        <v>83</v>
      </c>
      <c r="F113" t="s">
        <v>84</v>
      </c>
      <c r="G113" s="9">
        <v>250000</v>
      </c>
      <c r="H113" s="9">
        <v>45600</v>
      </c>
      <c r="I113" s="23">
        <v>18.240000000000002</v>
      </c>
      <c r="J113" s="9">
        <v>196668</v>
      </c>
      <c r="K113" s="79">
        <v>250000</v>
      </c>
      <c r="L113" s="9">
        <v>196668</v>
      </c>
      <c r="M113" s="78">
        <v>90</v>
      </c>
      <c r="N113" s="31">
        <v>90</v>
      </c>
      <c r="O113" s="9">
        <v>2777.7777777777778</v>
      </c>
      <c r="Q113" t="s">
        <v>312</v>
      </c>
    </row>
    <row r="114" spans="1:17" x14ac:dyDescent="0.25">
      <c r="K114" s="9">
        <v>650000</v>
      </c>
      <c r="M114" s="31">
        <v>168.6</v>
      </c>
    </row>
    <row r="115" spans="1:17" x14ac:dyDescent="0.25">
      <c r="N115" s="12">
        <v>3855.2787663107947</v>
      </c>
      <c r="O115" s="82">
        <v>192763.93831553974</v>
      </c>
    </row>
  </sheetData>
  <mergeCells count="13">
    <mergeCell ref="K52:M52"/>
    <mergeCell ref="K111:M111"/>
    <mergeCell ref="K28:M28"/>
    <mergeCell ref="K14:M14"/>
    <mergeCell ref="K22:M22"/>
    <mergeCell ref="K36:M36"/>
    <mergeCell ref="K43:M43"/>
    <mergeCell ref="K62:M62"/>
    <mergeCell ref="K78:M78"/>
    <mergeCell ref="K92:M92"/>
    <mergeCell ref="K99:M99"/>
    <mergeCell ref="K104:M104"/>
    <mergeCell ref="K72:M7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C5942-5A8A-48B4-976E-E1F9F86E355C}">
  <dimension ref="A1:AZ23"/>
  <sheetViews>
    <sheetView workbookViewId="0">
      <selection activeCell="N31" sqref="N31"/>
    </sheetView>
  </sheetViews>
  <sheetFormatPr defaultRowHeight="15" x14ac:dyDescent="0.25"/>
  <cols>
    <col min="1" max="1" width="14.28515625" bestFit="1" customWidth="1"/>
    <col min="2" max="2" width="24.140625" bestFit="1" customWidth="1"/>
    <col min="3" max="3" width="9.28515625" bestFit="1" customWidth="1"/>
    <col min="4" max="4" width="10.85546875" bestFit="1" customWidth="1"/>
    <col min="5" max="5" width="5.5703125" bestFit="1" customWidth="1"/>
    <col min="6" max="6" width="16.7109375" bestFit="1" customWidth="1"/>
    <col min="7" max="7" width="10.85546875" bestFit="1" customWidth="1"/>
    <col min="8" max="8" width="14.7109375" bestFit="1" customWidth="1"/>
    <col min="9" max="9" width="12.85546875" bestFit="1" customWidth="1"/>
    <col min="10" max="10" width="13.28515625" bestFit="1" customWidth="1"/>
    <col min="11" max="11" width="14.42578125" bestFit="1" customWidth="1"/>
    <col min="12" max="12" width="11.140625" bestFit="1" customWidth="1"/>
    <col min="13" max="13" width="6.42578125" bestFit="1" customWidth="1"/>
    <col min="14" max="14" width="14.28515625" bestFit="1" customWidth="1"/>
    <col min="15" max="15" width="10.85546875" bestFit="1" customWidth="1"/>
    <col min="16" max="16" width="10" bestFit="1" customWidth="1"/>
    <col min="17" max="17" width="12" bestFit="1" customWidth="1"/>
    <col min="18" max="18" width="11.85546875" bestFit="1" customWidth="1"/>
    <col min="19" max="19" width="11.7109375" bestFit="1" customWidth="1"/>
    <col min="20" max="20" width="8.7109375" bestFit="1" customWidth="1"/>
    <col min="21" max="21" width="10.5703125" bestFit="1" customWidth="1"/>
    <col min="22" max="22" width="19.42578125" bestFit="1" customWidth="1"/>
    <col min="23" max="23" width="9.42578125" bestFit="1" customWidth="1"/>
  </cols>
  <sheetData>
    <row r="1" spans="1:52" x14ac:dyDescent="0.25">
      <c r="A1" s="156" t="s">
        <v>52</v>
      </c>
      <c r="B1" s="156" t="s">
        <v>53</v>
      </c>
      <c r="C1" s="177" t="s">
        <v>54</v>
      </c>
      <c r="D1" s="167" t="s">
        <v>55</v>
      </c>
      <c r="E1" s="156" t="s">
        <v>56</v>
      </c>
      <c r="F1" s="156" t="s">
        <v>57</v>
      </c>
      <c r="G1" s="167" t="s">
        <v>58</v>
      </c>
      <c r="H1" s="167" t="s">
        <v>59</v>
      </c>
      <c r="I1" s="172" t="s">
        <v>60</v>
      </c>
      <c r="J1" s="167" t="s">
        <v>62</v>
      </c>
      <c r="K1" s="182" t="s">
        <v>66</v>
      </c>
      <c r="L1" s="167" t="s">
        <v>69</v>
      </c>
      <c r="M1" s="158" t="s">
        <v>72</v>
      </c>
      <c r="N1" s="156" t="s">
        <v>73</v>
      </c>
      <c r="O1" s="156" t="s">
        <v>74</v>
      </c>
      <c r="P1" s="156" t="s">
        <v>75</v>
      </c>
      <c r="Q1" s="156" t="s">
        <v>80</v>
      </c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</row>
    <row r="2" spans="1:52" x14ac:dyDescent="0.25">
      <c r="A2" s="155" t="s">
        <v>583</v>
      </c>
      <c r="B2" s="155" t="s">
        <v>584</v>
      </c>
      <c r="C2" s="178">
        <v>44176</v>
      </c>
      <c r="D2" s="168">
        <v>40000</v>
      </c>
      <c r="E2" s="155" t="s">
        <v>106</v>
      </c>
      <c r="F2" s="155" t="s">
        <v>84</v>
      </c>
      <c r="G2" s="168">
        <v>40000</v>
      </c>
      <c r="H2" s="168">
        <v>24750</v>
      </c>
      <c r="I2" s="173">
        <v>61.875</v>
      </c>
      <c r="J2" s="168">
        <v>40000</v>
      </c>
      <c r="K2" s="183">
        <v>1</v>
      </c>
      <c r="L2" s="168">
        <v>40000</v>
      </c>
      <c r="M2" s="159" t="s">
        <v>483</v>
      </c>
      <c r="N2" s="155" t="s">
        <v>585</v>
      </c>
      <c r="O2" s="155"/>
      <c r="P2" s="155" t="s">
        <v>485</v>
      </c>
      <c r="Q2" s="160" t="s">
        <v>96</v>
      </c>
      <c r="R2" s="155"/>
      <c r="S2" s="155"/>
      <c r="T2" s="155"/>
      <c r="U2" s="155"/>
      <c r="V2" s="157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7"/>
      <c r="AN2" s="155"/>
      <c r="AO2" s="157"/>
      <c r="AP2" s="155"/>
      <c r="AQ2" s="155"/>
      <c r="AR2" s="155"/>
      <c r="AS2" s="155"/>
      <c r="AT2" s="155"/>
      <c r="AU2" s="155"/>
      <c r="AV2" s="155"/>
    </row>
    <row r="3" spans="1:52" x14ac:dyDescent="0.25">
      <c r="A3" s="155" t="s">
        <v>457</v>
      </c>
      <c r="B3" s="155" t="s">
        <v>458</v>
      </c>
      <c r="C3" s="178">
        <v>44644</v>
      </c>
      <c r="D3" s="168">
        <v>367500</v>
      </c>
      <c r="E3" s="155" t="s">
        <v>83</v>
      </c>
      <c r="F3" s="155" t="s">
        <v>84</v>
      </c>
      <c r="G3" s="168">
        <v>367500</v>
      </c>
      <c r="H3" s="168">
        <v>141800</v>
      </c>
      <c r="I3" s="173">
        <v>38.585034013605437</v>
      </c>
      <c r="J3" s="168">
        <v>39057</v>
      </c>
      <c r="K3" s="183">
        <v>1</v>
      </c>
      <c r="L3" s="168">
        <v>39057</v>
      </c>
      <c r="M3" s="159" t="s">
        <v>455</v>
      </c>
      <c r="N3" s="155" t="s">
        <v>459</v>
      </c>
      <c r="O3" s="155"/>
      <c r="P3" s="155" t="s">
        <v>456</v>
      </c>
      <c r="Q3" s="160" t="s">
        <v>96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52" x14ac:dyDescent="0.25">
      <c r="A4" s="155" t="s">
        <v>586</v>
      </c>
      <c r="B4" s="155" t="s">
        <v>587</v>
      </c>
      <c r="C4" s="178">
        <v>44006</v>
      </c>
      <c r="D4" s="168">
        <v>270000</v>
      </c>
      <c r="E4" s="155" t="s">
        <v>83</v>
      </c>
      <c r="F4" s="155" t="s">
        <v>84</v>
      </c>
      <c r="G4" s="168">
        <v>270000</v>
      </c>
      <c r="H4" s="168">
        <v>131250</v>
      </c>
      <c r="I4" s="173">
        <v>48.611111111111107</v>
      </c>
      <c r="J4" s="168">
        <v>-1458</v>
      </c>
      <c r="K4" s="183">
        <v>1</v>
      </c>
      <c r="L4" s="168">
        <v>-1458</v>
      </c>
      <c r="M4" s="159" t="s">
        <v>455</v>
      </c>
      <c r="N4" s="155" t="s">
        <v>588</v>
      </c>
      <c r="O4" s="155"/>
      <c r="P4" s="155" t="s">
        <v>456</v>
      </c>
      <c r="Q4" s="160" t="s">
        <v>96</v>
      </c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</row>
    <row r="5" spans="1:52" x14ac:dyDescent="0.25">
      <c r="A5" s="155" t="s">
        <v>460</v>
      </c>
      <c r="B5" s="155" t="s">
        <v>461</v>
      </c>
      <c r="C5" s="178">
        <v>43931</v>
      </c>
      <c r="D5" s="168">
        <v>273000</v>
      </c>
      <c r="E5" s="155" t="s">
        <v>83</v>
      </c>
      <c r="F5" s="155" t="s">
        <v>84</v>
      </c>
      <c r="G5" s="168">
        <v>273000</v>
      </c>
      <c r="H5" s="168">
        <v>126350</v>
      </c>
      <c r="I5" s="173">
        <v>46.282051282051285</v>
      </c>
      <c r="J5" s="168">
        <v>3158</v>
      </c>
      <c r="K5" s="183">
        <v>1</v>
      </c>
      <c r="L5" s="168">
        <v>3158</v>
      </c>
      <c r="M5" s="159" t="s">
        <v>455</v>
      </c>
      <c r="N5" s="155"/>
      <c r="O5" s="155"/>
      <c r="P5" s="155" t="s">
        <v>456</v>
      </c>
      <c r="Q5" s="160" t="s">
        <v>96</v>
      </c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</row>
    <row r="6" spans="1:52" x14ac:dyDescent="0.25">
      <c r="A6" s="155" t="s">
        <v>460</v>
      </c>
      <c r="B6" s="155" t="s">
        <v>461</v>
      </c>
      <c r="C6" s="178">
        <v>44393</v>
      </c>
      <c r="D6" s="168">
        <v>362001</v>
      </c>
      <c r="E6" s="155" t="s">
        <v>106</v>
      </c>
      <c r="F6" s="155" t="s">
        <v>84</v>
      </c>
      <c r="G6" s="168">
        <v>362001</v>
      </c>
      <c r="H6" s="168">
        <v>0</v>
      </c>
      <c r="I6" s="173">
        <v>0</v>
      </c>
      <c r="J6" s="168">
        <v>82159</v>
      </c>
      <c r="K6" s="183">
        <v>1</v>
      </c>
      <c r="L6" s="168">
        <v>82159</v>
      </c>
      <c r="M6" s="159" t="s">
        <v>455</v>
      </c>
      <c r="N6" s="155" t="s">
        <v>490</v>
      </c>
      <c r="O6" s="155"/>
      <c r="P6" s="155" t="s">
        <v>456</v>
      </c>
      <c r="Q6" s="160" t="s">
        <v>96</v>
      </c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</row>
    <row r="7" spans="1:52" x14ac:dyDescent="0.25">
      <c r="A7" s="155" t="s">
        <v>462</v>
      </c>
      <c r="B7" s="155" t="s">
        <v>463</v>
      </c>
      <c r="C7" s="178">
        <v>44585</v>
      </c>
      <c r="D7" s="168">
        <v>349900</v>
      </c>
      <c r="E7" s="155" t="s">
        <v>106</v>
      </c>
      <c r="F7" s="155" t="s">
        <v>84</v>
      </c>
      <c r="G7" s="168">
        <v>349900</v>
      </c>
      <c r="H7" s="168">
        <v>129400</v>
      </c>
      <c r="I7" s="173">
        <v>36.981994855673051</v>
      </c>
      <c r="J7" s="168">
        <v>63855</v>
      </c>
      <c r="K7" s="183">
        <v>1</v>
      </c>
      <c r="L7" s="168">
        <v>63855</v>
      </c>
      <c r="M7" s="159" t="s">
        <v>455</v>
      </c>
      <c r="N7" s="155" t="s">
        <v>464</v>
      </c>
      <c r="O7" s="155"/>
      <c r="P7" s="155" t="s">
        <v>456</v>
      </c>
      <c r="Q7" s="160" t="s">
        <v>96</v>
      </c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</row>
    <row r="8" spans="1:52" ht="15.75" thickBot="1" x14ac:dyDescent="0.3">
      <c r="A8" s="155" t="s">
        <v>481</v>
      </c>
      <c r="B8" s="155" t="s">
        <v>482</v>
      </c>
      <c r="C8" s="178">
        <v>44386</v>
      </c>
      <c r="D8" s="168">
        <v>376000</v>
      </c>
      <c r="E8" s="155" t="s">
        <v>106</v>
      </c>
      <c r="F8" s="155" t="s">
        <v>84</v>
      </c>
      <c r="G8" s="168">
        <v>376000</v>
      </c>
      <c r="H8" s="168">
        <v>0</v>
      </c>
      <c r="I8" s="173">
        <v>0</v>
      </c>
      <c r="J8" s="168">
        <v>73751</v>
      </c>
      <c r="K8" s="183">
        <v>1</v>
      </c>
      <c r="L8" s="168">
        <v>73751</v>
      </c>
      <c r="M8" s="159" t="s">
        <v>483</v>
      </c>
      <c r="N8" s="155" t="s">
        <v>484</v>
      </c>
      <c r="O8" s="155"/>
      <c r="P8" s="155" t="s">
        <v>485</v>
      </c>
      <c r="Q8" s="160" t="s">
        <v>96</v>
      </c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</row>
    <row r="9" spans="1:52" ht="15.75" thickTop="1" x14ac:dyDescent="0.25">
      <c r="A9" s="161"/>
      <c r="B9" s="161"/>
      <c r="C9" s="179" t="s">
        <v>113</v>
      </c>
      <c r="D9" s="169">
        <v>2038401</v>
      </c>
      <c r="E9" s="161"/>
      <c r="F9" s="161"/>
      <c r="G9" s="169">
        <v>2038401</v>
      </c>
      <c r="H9" s="169">
        <v>553550</v>
      </c>
      <c r="I9" s="174"/>
      <c r="J9" s="169">
        <v>300522</v>
      </c>
      <c r="K9" s="184">
        <v>7</v>
      </c>
      <c r="L9" s="169"/>
      <c r="M9" s="187"/>
      <c r="N9" s="184"/>
      <c r="O9" s="162"/>
      <c r="P9" s="161"/>
      <c r="Q9" s="161"/>
      <c r="R9" s="161"/>
      <c r="S9" s="161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</row>
    <row r="10" spans="1:52" x14ac:dyDescent="0.25">
      <c r="A10" s="163"/>
      <c r="B10" s="163"/>
      <c r="C10" s="180"/>
      <c r="D10" s="170"/>
      <c r="E10" s="163"/>
      <c r="F10" s="163"/>
      <c r="G10" s="170"/>
      <c r="H10" s="170" t="s">
        <v>114</v>
      </c>
      <c r="I10" s="175">
        <v>27.156089503488275</v>
      </c>
      <c r="J10" s="170"/>
      <c r="K10" s="185" t="s">
        <v>115</v>
      </c>
      <c r="L10" s="185"/>
      <c r="M10" s="170"/>
      <c r="N10" s="170"/>
      <c r="O10" s="188"/>
      <c r="P10" s="185"/>
      <c r="Q10" s="164"/>
      <c r="R10" s="163"/>
      <c r="S10" s="163"/>
      <c r="T10" s="163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</row>
    <row r="11" spans="1:52" x14ac:dyDescent="0.25">
      <c r="A11" s="165"/>
      <c r="B11" s="165"/>
      <c r="C11" s="181"/>
      <c r="D11" s="171"/>
      <c r="E11" s="165"/>
      <c r="F11" s="165"/>
      <c r="G11" s="171"/>
      <c r="H11" s="171" t="s">
        <v>116</v>
      </c>
      <c r="I11" s="176">
        <v>24.078619536899737</v>
      </c>
      <c r="J11" s="171"/>
      <c r="K11" s="186" t="s">
        <v>118</v>
      </c>
      <c r="L11" s="186">
        <v>42931.714285714283</v>
      </c>
      <c r="M11" s="171"/>
      <c r="N11" s="171"/>
      <c r="O11" s="189"/>
      <c r="P11" s="186"/>
      <c r="Q11" s="166"/>
      <c r="R11" s="165"/>
      <c r="S11" s="165"/>
      <c r="T11" s="16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</row>
    <row r="12" spans="1:52" x14ac:dyDescent="0.25">
      <c r="C12" s="25"/>
      <c r="D12" s="9"/>
      <c r="G12" s="9"/>
      <c r="H12" s="9"/>
      <c r="I12" s="23"/>
      <c r="J12" s="9"/>
      <c r="K12" s="9"/>
      <c r="L12" s="27"/>
      <c r="M12" s="29"/>
      <c r="N12" s="31"/>
      <c r="O12" s="31"/>
      <c r="P12" s="9"/>
      <c r="Q12" s="9"/>
      <c r="R12" s="33"/>
      <c r="S12" s="31"/>
      <c r="T12" s="18"/>
    </row>
    <row r="13" spans="1:52" x14ac:dyDescent="0.25">
      <c r="C13" s="25"/>
      <c r="D13" s="9"/>
      <c r="G13" s="9"/>
      <c r="H13" s="9"/>
      <c r="I13" s="23"/>
      <c r="J13" s="9"/>
      <c r="K13" s="9"/>
      <c r="L13" s="27"/>
      <c r="M13" s="29"/>
      <c r="N13" s="31"/>
      <c r="O13" s="31"/>
      <c r="P13" s="9"/>
      <c r="Q13" s="9"/>
      <c r="R13" s="33"/>
      <c r="S13" s="31"/>
      <c r="T13" s="18"/>
    </row>
    <row r="14" spans="1:52" ht="15.75" thickBot="1" x14ac:dyDescent="0.3">
      <c r="C14" s="25"/>
      <c r="D14" s="9"/>
      <c r="G14" s="9"/>
      <c r="H14" s="9"/>
      <c r="I14" s="23"/>
      <c r="J14" s="9"/>
      <c r="K14" s="9"/>
      <c r="L14" s="27"/>
      <c r="M14" s="29"/>
      <c r="N14" s="31"/>
      <c r="O14" s="31"/>
      <c r="P14" s="9"/>
      <c r="Q14" s="9"/>
      <c r="R14" s="33"/>
      <c r="S14" s="31"/>
      <c r="T14" s="18"/>
    </row>
    <row r="15" spans="1:52" ht="15.75" thickTop="1" x14ac:dyDescent="0.25">
      <c r="A15" s="85"/>
      <c r="B15" s="85"/>
      <c r="C15" s="97"/>
      <c r="D15" s="91"/>
      <c r="E15" s="85"/>
      <c r="F15" s="85"/>
      <c r="G15" s="91"/>
      <c r="H15" s="91"/>
      <c r="I15" s="94"/>
      <c r="J15" s="91"/>
      <c r="K15" s="91"/>
      <c r="L15" s="100"/>
      <c r="M15" s="102"/>
      <c r="N15" s="105"/>
      <c r="O15" s="105"/>
      <c r="P15" s="91"/>
      <c r="Q15" s="91"/>
      <c r="R15" s="108"/>
      <c r="S15" s="105"/>
      <c r="T15" s="86"/>
      <c r="U15" s="85"/>
      <c r="V15" s="85"/>
      <c r="W15" s="85"/>
    </row>
    <row r="16" spans="1:52" x14ac:dyDescent="0.25">
      <c r="A16" s="87"/>
      <c r="B16" s="87"/>
      <c r="C16" s="98"/>
      <c r="D16" s="92"/>
      <c r="E16" s="87"/>
      <c r="F16" s="87"/>
      <c r="G16" s="92"/>
      <c r="H16" s="92"/>
      <c r="I16" s="95"/>
      <c r="J16" s="92"/>
      <c r="K16" s="92"/>
      <c r="L16" s="101"/>
      <c r="M16" s="103"/>
      <c r="N16" s="106"/>
      <c r="O16" s="106"/>
      <c r="P16" s="92"/>
      <c r="Q16" s="92"/>
      <c r="R16" s="109"/>
      <c r="S16" s="106"/>
      <c r="T16" s="88"/>
      <c r="U16" s="87"/>
      <c r="V16" s="87"/>
      <c r="W16" s="87"/>
    </row>
    <row r="17" spans="1:23" x14ac:dyDescent="0.25">
      <c r="A17" s="89"/>
      <c r="B17" s="89"/>
      <c r="C17" s="99"/>
      <c r="D17" s="93"/>
      <c r="E17" s="89"/>
      <c r="F17" s="89"/>
      <c r="G17" s="93"/>
      <c r="H17" s="93"/>
      <c r="I17" s="96"/>
      <c r="J17" s="93"/>
      <c r="K17" s="93"/>
      <c r="L17" s="111"/>
      <c r="M17" s="104"/>
      <c r="N17" s="107"/>
      <c r="O17" s="107"/>
      <c r="P17" s="93"/>
      <c r="Q17" s="93"/>
      <c r="R17" s="110"/>
      <c r="S17" s="107"/>
      <c r="T17" s="90"/>
      <c r="U17" s="89"/>
      <c r="V17" s="89"/>
      <c r="W17" s="89"/>
    </row>
    <row r="18" spans="1:23" ht="15.75" thickBot="1" x14ac:dyDescent="0.3">
      <c r="J18" s="9"/>
    </row>
    <row r="19" spans="1:23" ht="15.75" thickBot="1" x14ac:dyDescent="0.3">
      <c r="A19" t="s">
        <v>510</v>
      </c>
      <c r="J19" s="112"/>
    </row>
    <row r="20" spans="1:23" x14ac:dyDescent="0.25">
      <c r="A20" t="s">
        <v>487</v>
      </c>
    </row>
    <row r="21" spans="1:23" x14ac:dyDescent="0.25">
      <c r="A21" t="s">
        <v>486</v>
      </c>
    </row>
    <row r="23" spans="1:23" x14ac:dyDescent="0.25">
      <c r="A23" s="13" t="s">
        <v>589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7D8E-82E8-4946-95C5-181765AC7340}">
  <dimension ref="A1:BL16"/>
  <sheetViews>
    <sheetView workbookViewId="0">
      <selection activeCell="K10" sqref="K10"/>
    </sheetView>
  </sheetViews>
  <sheetFormatPr defaultRowHeight="15" x14ac:dyDescent="0.25"/>
  <sheetData>
    <row r="1" spans="1:64" x14ac:dyDescent="0.25">
      <c r="A1" s="16" t="s">
        <v>52</v>
      </c>
      <c r="B1" s="16" t="s">
        <v>53</v>
      </c>
      <c r="C1" s="24" t="s">
        <v>54</v>
      </c>
      <c r="D1" s="21" t="s">
        <v>55</v>
      </c>
      <c r="E1" s="16" t="s">
        <v>56</v>
      </c>
      <c r="F1" s="16" t="s">
        <v>57</v>
      </c>
      <c r="G1" s="21" t="s">
        <v>58</v>
      </c>
      <c r="H1" s="21" t="s">
        <v>59</v>
      </c>
      <c r="I1" s="22" t="s">
        <v>60</v>
      </c>
      <c r="J1" s="21" t="s">
        <v>61</v>
      </c>
      <c r="K1" s="21" t="s">
        <v>62</v>
      </c>
      <c r="L1" s="21" t="s">
        <v>63</v>
      </c>
      <c r="M1" s="26" t="s">
        <v>64</v>
      </c>
      <c r="N1" s="28" t="s">
        <v>65</v>
      </c>
      <c r="O1" s="30" t="s">
        <v>66</v>
      </c>
      <c r="P1" s="30" t="s">
        <v>67</v>
      </c>
      <c r="Q1" s="21" t="s">
        <v>68</v>
      </c>
      <c r="R1" s="21" t="s">
        <v>69</v>
      </c>
      <c r="S1" s="32" t="s">
        <v>70</v>
      </c>
      <c r="T1" s="30" t="s">
        <v>71</v>
      </c>
      <c r="U1" s="17" t="s">
        <v>72</v>
      </c>
      <c r="V1" s="16" t="s">
        <v>73</v>
      </c>
      <c r="W1" s="16" t="s">
        <v>74</v>
      </c>
      <c r="X1" s="16" t="s">
        <v>75</v>
      </c>
      <c r="Y1" s="16" t="s">
        <v>76</v>
      </c>
      <c r="Z1" s="16" t="s">
        <v>77</v>
      </c>
      <c r="AA1" s="16" t="s">
        <v>78</v>
      </c>
      <c r="AB1" s="16" t="s">
        <v>79</v>
      </c>
      <c r="AC1" s="16" t="s">
        <v>80</v>
      </c>
      <c r="AD1" s="16" t="s">
        <v>308</v>
      </c>
      <c r="AE1" s="16" t="s">
        <v>307</v>
      </c>
      <c r="AF1" s="16" t="s">
        <v>306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x14ac:dyDescent="0.25">
      <c r="A2" t="s">
        <v>442</v>
      </c>
      <c r="B2" t="s">
        <v>443</v>
      </c>
      <c r="C2" s="25">
        <v>44799</v>
      </c>
      <c r="D2" s="9">
        <v>185000</v>
      </c>
      <c r="E2" t="s">
        <v>83</v>
      </c>
      <c r="F2" t="s">
        <v>84</v>
      </c>
      <c r="G2" s="9">
        <v>185000</v>
      </c>
      <c r="H2" s="9">
        <v>94600</v>
      </c>
      <c r="I2" s="23">
        <v>51.135135135135137</v>
      </c>
      <c r="J2" s="9">
        <v>200306</v>
      </c>
      <c r="K2" s="9">
        <v>1694</v>
      </c>
      <c r="L2" s="9">
        <v>17000</v>
      </c>
      <c r="M2" s="27">
        <v>0</v>
      </c>
      <c r="N2" s="29">
        <v>0</v>
      </c>
      <c r="O2" s="31">
        <v>0</v>
      </c>
      <c r="P2" s="31">
        <v>0</v>
      </c>
      <c r="Q2" s="9" t="e">
        <v>#DIV/0!</v>
      </c>
      <c r="R2" s="9" t="e">
        <v>#DIV/0!</v>
      </c>
      <c r="S2" s="33" t="e">
        <v>#DIV/0!</v>
      </c>
      <c r="T2" s="31">
        <v>0</v>
      </c>
      <c r="U2" s="18" t="s">
        <v>444</v>
      </c>
      <c r="V2" t="s">
        <v>445</v>
      </c>
      <c r="X2" t="s">
        <v>446</v>
      </c>
      <c r="Y2">
        <v>0</v>
      </c>
      <c r="Z2">
        <v>0</v>
      </c>
      <c r="AA2" t="s">
        <v>89</v>
      </c>
      <c r="AC2" s="19" t="s">
        <v>96</v>
      </c>
    </row>
    <row r="3" spans="1:64" x14ac:dyDescent="0.25">
      <c r="A3" t="s">
        <v>447</v>
      </c>
      <c r="B3" t="s">
        <v>448</v>
      </c>
      <c r="C3" s="25">
        <v>44854</v>
      </c>
      <c r="D3" s="9">
        <v>210000</v>
      </c>
      <c r="E3" t="s">
        <v>83</v>
      </c>
      <c r="F3" t="s">
        <v>84</v>
      </c>
      <c r="G3" s="9">
        <v>210000</v>
      </c>
      <c r="H3" s="9">
        <v>98700</v>
      </c>
      <c r="I3" s="23">
        <v>47</v>
      </c>
      <c r="J3" s="9">
        <v>208995</v>
      </c>
      <c r="K3" s="9">
        <v>18005</v>
      </c>
      <c r="L3" s="9">
        <v>17000</v>
      </c>
      <c r="M3" s="27">
        <v>0</v>
      </c>
      <c r="N3" s="29">
        <v>0</v>
      </c>
      <c r="O3" s="31">
        <v>0</v>
      </c>
      <c r="P3" s="31">
        <v>0</v>
      </c>
      <c r="Q3" s="9" t="e">
        <v>#DIV/0!</v>
      </c>
      <c r="R3" s="9" t="e">
        <v>#DIV/0!</v>
      </c>
      <c r="S3" s="33" t="e">
        <v>#DIV/0!</v>
      </c>
      <c r="T3" s="31">
        <v>0</v>
      </c>
      <c r="U3" s="18" t="s">
        <v>444</v>
      </c>
      <c r="V3" t="s">
        <v>449</v>
      </c>
      <c r="X3" t="s">
        <v>446</v>
      </c>
      <c r="Y3">
        <v>0</v>
      </c>
      <c r="Z3">
        <v>0</v>
      </c>
      <c r="AA3" s="20">
        <v>43325</v>
      </c>
      <c r="AC3" s="19" t="s">
        <v>96</v>
      </c>
    </row>
    <row r="4" spans="1:64" x14ac:dyDescent="0.25">
      <c r="A4" t="s">
        <v>450</v>
      </c>
      <c r="B4" t="s">
        <v>451</v>
      </c>
      <c r="C4" s="25">
        <v>43942</v>
      </c>
      <c r="D4" s="9">
        <v>195000</v>
      </c>
      <c r="E4" t="s">
        <v>83</v>
      </c>
      <c r="F4" t="s">
        <v>84</v>
      </c>
      <c r="G4" s="9">
        <v>195000</v>
      </c>
      <c r="H4" s="9">
        <v>82050</v>
      </c>
      <c r="I4" s="23">
        <v>42.07692307692308</v>
      </c>
      <c r="J4" s="9">
        <v>195974</v>
      </c>
      <c r="K4" s="9">
        <v>16026</v>
      </c>
      <c r="L4" s="9">
        <v>17000</v>
      </c>
      <c r="M4" s="27">
        <v>0</v>
      </c>
      <c r="N4" s="29">
        <v>0</v>
      </c>
      <c r="O4" s="31">
        <v>0</v>
      </c>
      <c r="P4" s="31">
        <v>0</v>
      </c>
      <c r="Q4" s="9" t="e">
        <v>#DIV/0!</v>
      </c>
      <c r="R4" s="9" t="e">
        <v>#DIV/0!</v>
      </c>
      <c r="S4" s="33" t="e">
        <v>#DIV/0!</v>
      </c>
      <c r="T4" s="31">
        <v>0</v>
      </c>
      <c r="U4" s="18" t="s">
        <v>444</v>
      </c>
      <c r="X4" t="s">
        <v>446</v>
      </c>
      <c r="Y4">
        <v>0</v>
      </c>
      <c r="Z4">
        <v>0</v>
      </c>
      <c r="AA4" t="s">
        <v>89</v>
      </c>
      <c r="AC4" s="19" t="s">
        <v>96</v>
      </c>
    </row>
    <row r="5" spans="1:64" ht="15.75" thickBot="1" x14ac:dyDescent="0.3">
      <c r="A5" t="s">
        <v>452</v>
      </c>
      <c r="B5" t="s">
        <v>453</v>
      </c>
      <c r="C5" s="25">
        <v>44571</v>
      </c>
      <c r="D5" s="9">
        <v>230000</v>
      </c>
      <c r="E5" t="s">
        <v>83</v>
      </c>
      <c r="F5" t="s">
        <v>84</v>
      </c>
      <c r="G5" s="9">
        <v>230000</v>
      </c>
      <c r="H5" s="9">
        <v>102300</v>
      </c>
      <c r="I5" s="23">
        <v>44.478260869565219</v>
      </c>
      <c r="J5" s="9">
        <v>220814</v>
      </c>
      <c r="K5" s="9">
        <v>26186</v>
      </c>
      <c r="L5" s="9">
        <v>17000</v>
      </c>
      <c r="M5" s="27">
        <v>0</v>
      </c>
      <c r="N5" s="29">
        <v>0</v>
      </c>
      <c r="O5" s="31">
        <v>0</v>
      </c>
      <c r="P5" s="31">
        <v>0</v>
      </c>
      <c r="Q5" s="9" t="e">
        <v>#DIV/0!</v>
      </c>
      <c r="R5" s="9" t="e">
        <v>#DIV/0!</v>
      </c>
      <c r="S5" s="33" t="e">
        <v>#DIV/0!</v>
      </c>
      <c r="T5" s="31">
        <v>0</v>
      </c>
      <c r="U5" s="18" t="s">
        <v>444</v>
      </c>
      <c r="V5" t="s">
        <v>454</v>
      </c>
      <c r="X5" t="s">
        <v>446</v>
      </c>
      <c r="Y5">
        <v>0</v>
      </c>
      <c r="Z5">
        <v>0</v>
      </c>
      <c r="AA5" t="s">
        <v>89</v>
      </c>
      <c r="AC5" s="19" t="s">
        <v>96</v>
      </c>
    </row>
    <row r="6" spans="1:64" ht="15.75" thickTop="1" x14ac:dyDescent="0.25">
      <c r="A6" s="85"/>
      <c r="B6" s="85"/>
      <c r="C6" s="97" t="s">
        <v>113</v>
      </c>
      <c r="D6" s="91">
        <v>820000</v>
      </c>
      <c r="E6" s="85"/>
      <c r="F6" s="85"/>
      <c r="G6" s="91">
        <v>820000</v>
      </c>
      <c r="H6" s="91">
        <v>377650</v>
      </c>
      <c r="I6" s="94"/>
      <c r="J6" s="91">
        <v>826089</v>
      </c>
      <c r="K6" s="91">
        <v>61911</v>
      </c>
      <c r="L6" s="91">
        <v>68000</v>
      </c>
      <c r="M6" s="100">
        <v>0</v>
      </c>
      <c r="N6" s="102"/>
      <c r="O6" s="105">
        <v>0</v>
      </c>
      <c r="P6" s="105">
        <v>0</v>
      </c>
      <c r="Q6" s="91"/>
      <c r="R6" s="91"/>
      <c r="S6" s="108"/>
      <c r="T6" s="105"/>
      <c r="U6" s="86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</row>
    <row r="7" spans="1:64" x14ac:dyDescent="0.25">
      <c r="A7" s="87"/>
      <c r="B7" s="87"/>
      <c r="C7" s="98"/>
      <c r="D7" s="92"/>
      <c r="E7" s="87"/>
      <c r="F7" s="87"/>
      <c r="G7" s="92"/>
      <c r="H7" s="92" t="s">
        <v>114</v>
      </c>
      <c r="I7" s="95">
        <v>46.054878048780488</v>
      </c>
      <c r="J7" s="92"/>
      <c r="K7" s="92"/>
      <c r="L7" s="92" t="s">
        <v>115</v>
      </c>
      <c r="M7" s="101"/>
      <c r="N7" s="103"/>
      <c r="O7" s="106" t="s">
        <v>115</v>
      </c>
      <c r="P7" s="106"/>
      <c r="Q7" s="92"/>
      <c r="R7" s="92" t="s">
        <v>115</v>
      </c>
      <c r="S7" s="109"/>
      <c r="T7" s="106"/>
      <c r="U7" s="88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</row>
    <row r="8" spans="1:64" ht="15.75" thickBot="1" x14ac:dyDescent="0.3">
      <c r="A8" s="89"/>
      <c r="B8" s="89"/>
      <c r="C8" s="99"/>
      <c r="D8" s="93"/>
      <c r="E8" s="89"/>
      <c r="F8" s="89"/>
      <c r="G8" s="93"/>
      <c r="H8" s="93" t="s">
        <v>116</v>
      </c>
      <c r="I8" s="96">
        <v>3.8711195741869942</v>
      </c>
      <c r="J8" s="93"/>
      <c r="K8" s="92"/>
      <c r="L8" s="93" t="s">
        <v>117</v>
      </c>
      <c r="M8" s="111" t="e">
        <v>#DIV/0!</v>
      </c>
      <c r="N8" s="104"/>
      <c r="O8" s="107" t="s">
        <v>118</v>
      </c>
      <c r="P8" s="107" t="e">
        <v>#DIV/0!</v>
      </c>
      <c r="Q8" s="93"/>
      <c r="R8" s="93" t="s">
        <v>119</v>
      </c>
      <c r="S8" s="110" t="e">
        <v>#DIV/0!</v>
      </c>
      <c r="T8" s="107"/>
      <c r="U8" s="90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64" ht="15.75" thickBot="1" x14ac:dyDescent="0.3">
      <c r="K9" s="112">
        <v>15477.75</v>
      </c>
    </row>
    <row r="10" spans="1:64" x14ac:dyDescent="0.25">
      <c r="K10" s="92">
        <v>15500</v>
      </c>
    </row>
    <row r="13" spans="1:64" x14ac:dyDescent="0.25">
      <c r="U13" s="18"/>
      <c r="AC13" s="19"/>
      <c r="AL13" s="1"/>
      <c r="BC13" s="1"/>
      <c r="BE13" s="1"/>
    </row>
    <row r="14" spans="1:64" x14ac:dyDescent="0.25">
      <c r="U14" s="18"/>
      <c r="AA14" s="20"/>
      <c r="AC14" s="19"/>
    </row>
    <row r="15" spans="1:64" x14ac:dyDescent="0.25">
      <c r="U15" s="18"/>
      <c r="AC15" s="19"/>
    </row>
    <row r="16" spans="1:64" x14ac:dyDescent="0.25">
      <c r="U16" s="18"/>
      <c r="AC16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Descriptions &amp; Codes</vt:lpstr>
      <vt:lpstr>AG Sales</vt:lpstr>
      <vt:lpstr>Ag Detail</vt:lpstr>
      <vt:lpstr>COM</vt:lpstr>
      <vt:lpstr>2022-2023 Res Values</vt:lpstr>
      <vt:lpstr>Residential North</vt:lpstr>
      <vt:lpstr>Residential South</vt:lpstr>
      <vt:lpstr>Green Pres Wed</vt:lpstr>
      <vt:lpstr>Greenfield Condo</vt:lpstr>
      <vt:lpstr>Heritage Hunter Oak</vt:lpstr>
      <vt:lpstr>Walnut Orchard MarJo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Heather Mitchell</cp:lastModifiedBy>
  <dcterms:created xsi:type="dcterms:W3CDTF">2022-10-17T15:00:01Z</dcterms:created>
  <dcterms:modified xsi:type="dcterms:W3CDTF">2023-03-25T18:31:12Z</dcterms:modified>
</cp:coreProperties>
</file>